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Design of STP" sheetId="1" r:id="rId1"/>
  </sheets>
  <externalReferences>
    <externalReference r:id="rId4"/>
    <externalReference r:id="rId5"/>
    <externalReference r:id="rId6"/>
  </externalReferences>
  <definedNames>
    <definedName name="\f">'[3]4- Service Levels'!#REF!</definedName>
    <definedName name="_Order1" hidden="1">0</definedName>
    <definedName name="DATABASE">'[2]N- Ward Codes'!$B$3:$E$357</definedName>
    <definedName name="_xlnm.Print_Area" localSheetId="0">'Design of STP'!$A$1:$E$310</definedName>
    <definedName name="_xlnm.Print_Titles" localSheetId="0">'Design of STP'!$1:$4</definedName>
    <definedName name="tab1">#N/A</definedName>
    <definedName name="tab2">'[1]33- Analysis-Expenditure'!$B$6:$H$105</definedName>
    <definedName name="TAB3">'[3]4- Service Levels'!#REF!</definedName>
    <definedName name="TAB4">'[3]4- Service Levels'!#REF!</definedName>
  </definedNames>
  <calcPr fullCalcOnLoad="1"/>
</workbook>
</file>

<file path=xl/sharedStrings.xml><?xml version="1.0" encoding="utf-8"?>
<sst xmlns="http://schemas.openxmlformats.org/spreadsheetml/2006/main" count="498" uniqueCount="336">
  <si>
    <t>Description of Parameter</t>
  </si>
  <si>
    <t>Unit</t>
  </si>
  <si>
    <t>Value</t>
  </si>
  <si>
    <t>Persons</t>
  </si>
  <si>
    <t>mg/L</t>
  </si>
  <si>
    <t>COD</t>
  </si>
  <si>
    <t>pH</t>
  </si>
  <si>
    <t>TDS</t>
  </si>
  <si>
    <t>Inlet Chamber</t>
  </si>
  <si>
    <t>lpd</t>
  </si>
  <si>
    <t>cum</t>
  </si>
  <si>
    <t>m</t>
  </si>
  <si>
    <t>Say</t>
  </si>
  <si>
    <t xml:space="preserve">Peak Design Flow </t>
  </si>
  <si>
    <t>mm</t>
  </si>
  <si>
    <t>20-50mm, pg.201 of CPHEEO Manual</t>
  </si>
  <si>
    <t>m/sec</t>
  </si>
  <si>
    <t>pg. 202 of CPHEEO  Manual</t>
  </si>
  <si>
    <t>Keeping Side Water Depth</t>
  </si>
  <si>
    <t>Width of each screen channel, W</t>
  </si>
  <si>
    <t>t</t>
  </si>
  <si>
    <t xml:space="preserve">Number of openings in chamber, W = X.o + (X - 1).t   where , X = No. of Opening ; o = Clear Space between bars ; t = Thickness of flat    </t>
  </si>
  <si>
    <t>no</t>
  </si>
  <si>
    <t>Assume Angle of inclination</t>
  </si>
  <si>
    <t>Degree</t>
  </si>
  <si>
    <t>Assume Length of the screen chamber</t>
  </si>
  <si>
    <t>Grit Removal unit</t>
  </si>
  <si>
    <t>Computation of Settling Velocity: Stoke's Law</t>
  </si>
  <si>
    <t>sqm/sec</t>
  </si>
  <si>
    <t>Particle Diameter assumed</t>
  </si>
  <si>
    <t>Settling Velocity</t>
  </si>
  <si>
    <t>m/s</t>
  </si>
  <si>
    <t>Pg,208,209 of CPHEEO manual</t>
  </si>
  <si>
    <t>Reynold's number, Re=(d.Vs/Kinematic viscosity)</t>
  </si>
  <si>
    <t>Actual Setling velocity</t>
  </si>
  <si>
    <t>cum/sqm/d</t>
  </si>
  <si>
    <t>Assumed Removal Efficiency</t>
  </si>
  <si>
    <t>%</t>
  </si>
  <si>
    <t>Dimensions of grit channel:</t>
  </si>
  <si>
    <t>Peak Flow</t>
  </si>
  <si>
    <t>cum/day</t>
  </si>
  <si>
    <t>Total Plan area of Grit channel = Qpeak/(Q/A)</t>
  </si>
  <si>
    <t>Assumed Width of the Grit channel</t>
  </si>
  <si>
    <t>Length of the Channel</t>
  </si>
  <si>
    <t>Liquid Depth assumed</t>
  </si>
  <si>
    <t>sec</t>
  </si>
  <si>
    <t>BOD Load</t>
  </si>
  <si>
    <t>kg/day</t>
  </si>
  <si>
    <t>Volume of the tank</t>
  </si>
  <si>
    <t>days</t>
  </si>
  <si>
    <t>kg/hr</t>
  </si>
  <si>
    <t>Reference</t>
  </si>
  <si>
    <t>Quantity of Sewage Generated</t>
  </si>
  <si>
    <t>Lpd</t>
  </si>
  <si>
    <t>MLD</t>
  </si>
  <si>
    <t>Cum/day</t>
  </si>
  <si>
    <t>Raw Sewage Characteristics</t>
  </si>
  <si>
    <t>Average Sewage flow entering the treatment plant</t>
  </si>
  <si>
    <t>Assumed Peak Factor</t>
  </si>
  <si>
    <t>Peak Sewage flow entering the treatment plant</t>
  </si>
  <si>
    <t>400 - 800</t>
  </si>
  <si>
    <t>mg/Lt</t>
  </si>
  <si>
    <t>BOD</t>
  </si>
  <si>
    <t>TSS</t>
  </si>
  <si>
    <t>Quantity of Flow (Ave)</t>
  </si>
  <si>
    <t>Cum/Sec</t>
  </si>
  <si>
    <t>Assumed Detention period</t>
  </si>
  <si>
    <t>Volume of the Inlet Chamber</t>
  </si>
  <si>
    <t>Cum</t>
  </si>
  <si>
    <t>Assumed Depth of flow</t>
  </si>
  <si>
    <t>Area Required for Inlet Chamber</t>
  </si>
  <si>
    <t>Sq.m</t>
  </si>
  <si>
    <t>Assumed Length to Breadth Ratio</t>
  </si>
  <si>
    <t>Breadth of the Tank</t>
  </si>
  <si>
    <t>length of  the Tank</t>
  </si>
  <si>
    <t>Screen Chamber (Fine Screens)</t>
  </si>
  <si>
    <t>Cum/s</t>
  </si>
  <si>
    <t>Assumed Detention Period in the Screen channel</t>
  </si>
  <si>
    <t>say</t>
  </si>
  <si>
    <t xml:space="preserve">No. of Grit channels </t>
  </si>
  <si>
    <t>(1W+1SB)</t>
  </si>
  <si>
    <t xml:space="preserve">Kinematic Viscosity of Effluent assumed </t>
  </si>
  <si>
    <t>Mechanical Grit Removal Unit</t>
  </si>
  <si>
    <t>Square Type Grit Removal Tank with Grit Hopper</t>
  </si>
  <si>
    <t>Parshall flume</t>
  </si>
  <si>
    <t>(Optional)</t>
  </si>
  <si>
    <t>Width of grit chamber</t>
  </si>
  <si>
    <t>Throat width of flume (W)</t>
  </si>
  <si>
    <t>table 11.2, 211 cph</t>
  </si>
  <si>
    <t>Sloping convergent length towards throat (A)</t>
  </si>
  <si>
    <t>Width at the beginning of convergent section (D)</t>
  </si>
  <si>
    <t>Length of convergent section (B)</t>
  </si>
  <si>
    <t>Far end Width of divergent section (G)</t>
  </si>
  <si>
    <t>Length of divergent section (C)</t>
  </si>
  <si>
    <t xml:space="preserve">Length of the throat (F) </t>
  </si>
  <si>
    <t>K</t>
  </si>
  <si>
    <t xml:space="preserve">table 11.2, 211 cph </t>
  </si>
  <si>
    <t>Z, - Constant</t>
  </si>
  <si>
    <t>Free board</t>
  </si>
  <si>
    <t>Calculations &amp; Dimensions</t>
  </si>
  <si>
    <t>Q, MLD</t>
  </si>
  <si>
    <t>Q, lps</t>
  </si>
  <si>
    <t>D, m</t>
  </si>
  <si>
    <t>C/s area, m2</t>
  </si>
  <si>
    <t>V, m/s</t>
  </si>
  <si>
    <t>Q, min</t>
  </si>
  <si>
    <t>Q, max</t>
  </si>
  <si>
    <t>Equalization Tank (Collection Chamber )</t>
  </si>
  <si>
    <t>hours</t>
  </si>
  <si>
    <t>Volume of the Tank</t>
  </si>
  <si>
    <t>Assumed Depth of Liquid column</t>
  </si>
  <si>
    <t>Area required for the equalization tank</t>
  </si>
  <si>
    <t>No. of Tanks Proposed</t>
  </si>
  <si>
    <t>area required for each equalization tank</t>
  </si>
  <si>
    <t>Length to Breadth ratio</t>
  </si>
  <si>
    <t>Breadth of the tank</t>
  </si>
  <si>
    <t>Length of the tank</t>
  </si>
  <si>
    <t>Mixing Arrangements</t>
  </si>
  <si>
    <t xml:space="preserve">Assumed BOD reduction in the tank </t>
  </si>
  <si>
    <t>Percent</t>
  </si>
  <si>
    <t>Incoming BOD of Raw sewage</t>
  </si>
  <si>
    <t xml:space="preserve">BOD to be reduced </t>
  </si>
  <si>
    <t>Oxygen required to remove BOD load</t>
  </si>
  <si>
    <t>kg/kg of BOD</t>
  </si>
  <si>
    <t xml:space="preserve">Oxygen required </t>
  </si>
  <si>
    <t>Cum/hr</t>
  </si>
  <si>
    <t>Provide Corse bubble aeration grids for</t>
  </si>
  <si>
    <t>cum/hr</t>
  </si>
  <si>
    <t>Raw Sewage Pumps</t>
  </si>
  <si>
    <t>Type of Pumps - Submersible/Horizontal Centrifugal</t>
  </si>
  <si>
    <t>Average flow</t>
  </si>
  <si>
    <t>Number of working hours</t>
  </si>
  <si>
    <t>hrs</t>
  </si>
  <si>
    <t>Flow Capacity of Pump required</t>
  </si>
  <si>
    <t xml:space="preserve">Cum/hr </t>
  </si>
  <si>
    <t>lps</t>
  </si>
  <si>
    <t>Head required</t>
  </si>
  <si>
    <t>HP required for pump</t>
  </si>
  <si>
    <t>hp</t>
  </si>
  <si>
    <t>Aeration tank</t>
  </si>
  <si>
    <t>No of Tanks</t>
  </si>
  <si>
    <t>Flow - completely mixed</t>
  </si>
  <si>
    <t>Type Aeration - Diffuser type fine bubble</t>
  </si>
  <si>
    <t xml:space="preserve">Blowers - </t>
  </si>
  <si>
    <t>( 1W+1SB)</t>
  </si>
  <si>
    <t>F/M assumed</t>
  </si>
  <si>
    <t>Add additional volume of 25% for sludge recycle</t>
  </si>
  <si>
    <t>Hydraulic Detention Time</t>
  </si>
  <si>
    <t>day</t>
  </si>
  <si>
    <t>Depth of the tank</t>
  </si>
  <si>
    <t>Area of the Tank</t>
  </si>
  <si>
    <t>Area for each tank</t>
  </si>
  <si>
    <t>Assumed Breadth to Length Ratio</t>
  </si>
  <si>
    <t>width of the tank</t>
  </si>
  <si>
    <t>Length of tank</t>
  </si>
  <si>
    <t>Blower capacity</t>
  </si>
  <si>
    <t>BoD load</t>
  </si>
  <si>
    <t>Oxygen Required for 1 kg BOD removal</t>
  </si>
  <si>
    <t>kg</t>
  </si>
  <si>
    <t>Theoretical Oxygen</t>
  </si>
  <si>
    <t>Actual requirement of air</t>
  </si>
  <si>
    <t xml:space="preserve"> fine bubble diffuser assumed to inject oxygen of </t>
  </si>
  <si>
    <t>Provide Membrance diffuser for aeration tank</t>
  </si>
  <si>
    <t>No.</t>
  </si>
  <si>
    <t>for each tank</t>
  </si>
  <si>
    <t xml:space="preserve">Sludge Volume Index assumed </t>
  </si>
  <si>
    <t>Sludge Recirculation Qr/Q=Xt/((10^6/SVI)-Xt)</t>
  </si>
  <si>
    <t>Volumetric loading rate</t>
  </si>
  <si>
    <t>kg/cum</t>
  </si>
  <si>
    <t>Xt V =</t>
  </si>
  <si>
    <t>Hydraulic Mean Cell Residence Time</t>
  </si>
  <si>
    <t>Assumed Reduction in the Aeration Tank</t>
  </si>
  <si>
    <t>Outlet BOD from the Aeration tank</t>
  </si>
  <si>
    <t>Secondary clarifier</t>
  </si>
  <si>
    <t xml:space="preserve">No. of Tanks </t>
  </si>
  <si>
    <t>Average Flow in each tank</t>
  </si>
  <si>
    <t>SOR</t>
  </si>
  <si>
    <t>Cum/Sqm/day</t>
  </si>
  <si>
    <t xml:space="preserve">SWD </t>
  </si>
  <si>
    <t>Solid conc. In settled sludge -%</t>
  </si>
  <si>
    <t xml:space="preserve"> 0.8 to 0.9</t>
  </si>
  <si>
    <t>Withdrawal frequency - continuous</t>
  </si>
  <si>
    <t>Area Required for the Tank</t>
  </si>
  <si>
    <t>Diametre Required for Secondary Settling Tank</t>
  </si>
  <si>
    <t>Assumed Detention Period</t>
  </si>
  <si>
    <t>Depth of the Clarifier assumed</t>
  </si>
  <si>
    <t>Area of the Clarifier</t>
  </si>
  <si>
    <t>Provide Secondary Clarifier of Diametre</t>
  </si>
  <si>
    <t>OK.</t>
  </si>
  <si>
    <t>Surface Loading Rate</t>
  </si>
  <si>
    <t>Cum/Sq.m/day</t>
  </si>
  <si>
    <t>Assumed BOD reduction in Clarifier</t>
  </si>
  <si>
    <t>Outlet BOD from Clarifier</t>
  </si>
  <si>
    <t>Return Activated Sludge /Excess sludge pumps</t>
  </si>
  <si>
    <t>Type of Pumps - Centrifugal</t>
  </si>
  <si>
    <t>No. of pumps</t>
  </si>
  <si>
    <t>Assumed return flow</t>
  </si>
  <si>
    <t>Return sludge Pumps</t>
  </si>
  <si>
    <t>Operating hours</t>
  </si>
  <si>
    <t>Capacity of pump required</t>
  </si>
  <si>
    <t>Power requirement for the Pump</t>
  </si>
  <si>
    <t>Hp</t>
  </si>
  <si>
    <t>Treated Sewage Sump</t>
  </si>
  <si>
    <t>Assumed Detention time</t>
  </si>
  <si>
    <t>Average Flow</t>
  </si>
  <si>
    <t>Provide a depth of tank as</t>
  </si>
  <si>
    <t>Square tank Size</t>
  </si>
  <si>
    <t>Pressure Sand Filter</t>
  </si>
  <si>
    <t>Filter Operating hours</t>
  </si>
  <si>
    <t>Operating flow</t>
  </si>
  <si>
    <t>Filter Loading rate</t>
  </si>
  <si>
    <t>Cum/hr/Sq.m</t>
  </si>
  <si>
    <t>Area of the Filter required</t>
  </si>
  <si>
    <t>Diameter of the Filter Required</t>
  </si>
  <si>
    <t>Filter feed Pumps</t>
  </si>
  <si>
    <t>Provide Filter feed pumps of capcity</t>
  </si>
  <si>
    <t>head</t>
  </si>
  <si>
    <t>Chlorine Mixing</t>
  </si>
  <si>
    <t xml:space="preserve">Reduction in BOD Expected in Dual media filter </t>
  </si>
  <si>
    <t>Exit BOD from the Dual media filter</t>
  </si>
  <si>
    <t>Chlorine Dosing Rate</t>
  </si>
  <si>
    <t>Percentage of Chlorine in Bleaching powder</t>
  </si>
  <si>
    <t>Disinfection through Chlorination</t>
  </si>
  <si>
    <t>Density of solution</t>
  </si>
  <si>
    <t>gm/ml</t>
  </si>
  <si>
    <t xml:space="preserve">Strength of the solution </t>
  </si>
  <si>
    <t>Bleaching powder required</t>
  </si>
  <si>
    <t>kg/d</t>
  </si>
  <si>
    <t>Filter press for Sludge Disposal to handle sludge of</t>
  </si>
  <si>
    <t>for one percent solution, tank capacity,</t>
  </si>
  <si>
    <t>liter</t>
  </si>
  <si>
    <t>Dosing Rate</t>
  </si>
  <si>
    <t>ml/day</t>
  </si>
  <si>
    <t>l/day</t>
  </si>
  <si>
    <t>lph</t>
  </si>
  <si>
    <t>Or</t>
  </si>
  <si>
    <t>Population Equivalent</t>
  </si>
  <si>
    <t>area per person</t>
  </si>
  <si>
    <t>Total Area required</t>
  </si>
  <si>
    <t>Pipe Sizes (Diameter in mm)</t>
  </si>
  <si>
    <t>BOD reduction after Disinfection</t>
  </si>
  <si>
    <t>BOD outlet to Garden or Reuse for Flushing is</t>
  </si>
  <si>
    <t>Mg/L</t>
  </si>
  <si>
    <t>Gravity Lines</t>
  </si>
  <si>
    <t>Sludge line</t>
  </si>
  <si>
    <t>Sewage line</t>
  </si>
  <si>
    <t>Pump House</t>
  </si>
  <si>
    <t>Size of the Pump House</t>
  </si>
  <si>
    <t>Hydraulic Calculations</t>
  </si>
  <si>
    <t>Average Ground Level</t>
  </si>
  <si>
    <t>Water Level in the Inlet Chamber be</t>
  </si>
  <si>
    <t>Liquid Depth Provided in the Inlet Chamber</t>
  </si>
  <si>
    <t>Bed Level of Inlet Chamber</t>
  </si>
  <si>
    <t>Bar Screen Chamber</t>
  </si>
  <si>
    <t>Water Level in the Bar Screen Chamber be</t>
  </si>
  <si>
    <t xml:space="preserve">Bed Level of U/s of Bar Screen Chamber </t>
  </si>
  <si>
    <t>Bed Level of D/s of Bar Screen Chamber</t>
  </si>
  <si>
    <t>Grit Chamber</t>
  </si>
  <si>
    <t>Water Level in the Grit Chamber be</t>
  </si>
  <si>
    <t>Bottom Level of Grit Chamber</t>
  </si>
  <si>
    <t>Silt Depoition Hopper bottom level</t>
  </si>
  <si>
    <t>Equalization Tank</t>
  </si>
  <si>
    <t xml:space="preserve">Water Level in the Equalization tank </t>
  </si>
  <si>
    <t xml:space="preserve">Bed Level of Equalization tank </t>
  </si>
  <si>
    <t>Aeration Tank</t>
  </si>
  <si>
    <t xml:space="preserve">Water Level in the Aeration Tank </t>
  </si>
  <si>
    <t xml:space="preserve">Bed Level of Aeration Tank </t>
  </si>
  <si>
    <t xml:space="preserve">Secondary Clarifier </t>
  </si>
  <si>
    <t>Water Level in the Secondary Clarifier</t>
  </si>
  <si>
    <t>Bottom Level of secondary Clarifier</t>
  </si>
  <si>
    <t>Water Level in the Sump</t>
  </si>
  <si>
    <t>Bed Level of Treated Sewage Sump</t>
  </si>
  <si>
    <t>Wall Top Level of Treated Sewage Sump</t>
  </si>
  <si>
    <t>Finished Floor Level of the Pump House above Treated Sewage Sump</t>
  </si>
  <si>
    <t>Roof Bottom Level of Pump house</t>
  </si>
  <si>
    <r>
      <t xml:space="preserve">Assume Clear spacing between bars,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</t>
    </r>
  </si>
  <si>
    <r>
      <t xml:space="preserve">Velocity ahead of screen </t>
    </r>
    <r>
      <rPr>
        <b/>
        <sz val="10"/>
        <rFont val="Arial"/>
        <family val="2"/>
      </rPr>
      <t>(Va)</t>
    </r>
    <r>
      <rPr>
        <sz val="10"/>
        <rFont val="Arial"/>
        <family val="2"/>
      </rPr>
      <t xml:space="preserve"> </t>
    </r>
  </si>
  <si>
    <r>
      <t xml:space="preserve">Area of Screen Channel,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= (Q/Va)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</si>
  <si>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</si>
  <si>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Water depth upstream, </t>
    </r>
    <r>
      <rPr>
        <b/>
        <sz val="10"/>
        <rFont val="Arial"/>
        <family val="2"/>
      </rPr>
      <t>ha</t>
    </r>
    <r>
      <rPr>
        <sz val="10"/>
        <rFont val="Arial"/>
        <family val="2"/>
      </rPr>
      <t xml:space="preserve"> = A/W</t>
    </r>
  </si>
  <si>
    <r>
      <t xml:space="preserve">Total width of opening, </t>
    </r>
    <r>
      <rPr>
        <b/>
        <sz val="10"/>
        <rFont val="Arial"/>
        <family val="2"/>
      </rPr>
      <t>Ws</t>
    </r>
    <r>
      <rPr>
        <sz val="10"/>
        <rFont val="Arial"/>
        <family val="2"/>
      </rPr>
      <t xml:space="preserve"> =x*o</t>
    </r>
  </si>
  <si>
    <r>
      <t xml:space="preserve">Inclined height of the screen, </t>
    </r>
    <r>
      <rPr>
        <b/>
        <sz val="10"/>
        <rFont val="Arial"/>
        <family val="2"/>
      </rPr>
      <t>H1</t>
    </r>
  </si>
  <si>
    <r>
      <t xml:space="preserve">Velocity through the screen, </t>
    </r>
    <r>
      <rPr>
        <b/>
        <sz val="10"/>
        <rFont val="Arial"/>
        <family val="2"/>
      </rPr>
      <t>Vs</t>
    </r>
    <r>
      <rPr>
        <sz val="10"/>
        <rFont val="Arial"/>
        <family val="2"/>
      </rPr>
      <t>= Q/H1*Ws</t>
    </r>
  </si>
  <si>
    <r>
      <t>Head loss thru screen in normal condition, h1=0.0729(V</t>
    </r>
    <r>
      <rPr>
        <vertAlign val="subscript"/>
        <sz val="10"/>
        <rFont val="Arial"/>
        <family val="2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-Va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</si>
  <si>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Head loss on 50% clogging h1=0.0729(2*Vs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-Va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</si>
  <si>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Water Depth downstream Hb, (Za-Zb)+Va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/2g-Vs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/2g+Ha-Headloss thru screen in normal condition</t>
    </r>
  </si>
  <si>
    <r>
      <t>Water Depth downstream Hb, (Za-Zb)+Va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/2g-Vs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/2g+Ha-Headloss thru screen in clogged condition</t>
    </r>
  </si>
  <si>
    <r>
      <t>for Transition flows, Vs=[(0.707(Ss-1)d</t>
    </r>
    <r>
      <rPr>
        <vertAlign val="superscript"/>
        <sz val="10"/>
        <rFont val="Arial"/>
        <family val="2"/>
      </rPr>
      <t>1.6</t>
    </r>
    <r>
      <rPr>
        <sz val="10"/>
        <rFont val="Arial"/>
        <family val="2"/>
      </rPr>
      <t>v-</t>
    </r>
    <r>
      <rPr>
        <vertAlign val="superscript"/>
        <sz val="10"/>
        <rFont val="Arial"/>
        <family val="2"/>
      </rPr>
      <t>0.6</t>
    </r>
    <r>
      <rPr>
        <sz val="10"/>
        <rFont val="Arial"/>
        <family val="2"/>
      </rPr>
      <t>)]</t>
    </r>
    <r>
      <rPr>
        <vertAlign val="superscript"/>
        <sz val="10"/>
        <rFont val="Arial"/>
        <family val="2"/>
      </rPr>
      <t>0.714</t>
    </r>
  </si>
  <si>
    <r>
      <t>Actual Surface Over Flow Rate :(Q/A)= 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n/[(1-η)</t>
    </r>
    <r>
      <rPr>
        <vertAlign val="superscript"/>
        <sz val="10"/>
        <rFont val="Arial"/>
        <family val="2"/>
      </rPr>
      <t>-0.125</t>
    </r>
    <r>
      <rPr>
        <sz val="10"/>
        <rFont val="Arial"/>
        <family val="2"/>
      </rPr>
      <t>-1]</t>
    </r>
  </si>
  <si>
    <r>
      <t>Note: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The variation of velocity is within the permissible 10% deviation. Hence the section provided is OK</t>
    </r>
  </si>
  <si>
    <r>
      <t xml:space="preserve">Note: </t>
    </r>
    <r>
      <rPr>
        <i/>
        <sz val="10"/>
        <rFont val="Arial"/>
        <family val="2"/>
      </rPr>
      <t>Check for B =1.5 *Qmax^0.33 and not less than the value given in table (adopted value)</t>
    </r>
  </si>
  <si>
    <t>No. of pumps - 2 (2W+2SB)</t>
  </si>
  <si>
    <t>(2W+2SB)</t>
  </si>
  <si>
    <t>1520-1620</t>
  </si>
  <si>
    <t>Assume Size of the screen flats of size having a thickness of 10 mm and a width of 50 mm (CPHEEO page no 201)</t>
  </si>
  <si>
    <t>less than 0.3 m hence ok</t>
  </si>
  <si>
    <t>less than 0.15 m hence ok</t>
  </si>
  <si>
    <t>D as per formula 11.18 page 212 of Manual, V as per 11.21</t>
  </si>
  <si>
    <t>volume of tank as per 13.6 page 226</t>
  </si>
  <si>
    <t>Total volume of tank</t>
  </si>
  <si>
    <t>Total Air Requirement</t>
  </si>
  <si>
    <t>Actual Air Required</t>
  </si>
  <si>
    <r>
      <t xml:space="preserve">Provide 2 Blowers of capacity at </t>
    </r>
    <r>
      <rPr>
        <b/>
        <sz val="10"/>
        <color indexed="10"/>
        <rFont val="Arial"/>
        <family val="2"/>
      </rPr>
      <t>0.45 ksc</t>
    </r>
    <r>
      <rPr>
        <b/>
        <sz val="10"/>
        <rFont val="Arial"/>
        <family val="2"/>
      </rPr>
      <t xml:space="preserve"> (1W+ 1 SB)</t>
    </r>
  </si>
  <si>
    <t>Page 235-SVI  80 to 150</t>
  </si>
  <si>
    <t>table 13.1 page 235 or taking SVI 100</t>
  </si>
  <si>
    <r>
      <t>a</t>
    </r>
    <r>
      <rPr>
        <vertAlign val="subscript"/>
        <sz val="14"/>
        <rFont val="Times New Roman"/>
        <family val="1"/>
      </rPr>
      <t>y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Q (Y</t>
    </r>
    <r>
      <rPr>
        <vertAlign val="subscript"/>
        <sz val="11"/>
        <rFont val="Times New Roman"/>
        <family val="1"/>
      </rPr>
      <t>o</t>
    </r>
    <r>
      <rPr>
        <sz val="11"/>
        <rFont val="Times New Roman"/>
        <family val="1"/>
      </rPr>
      <t xml:space="preserve"> – Ye) </t>
    </r>
    <r>
      <rPr>
        <sz val="11"/>
        <color indexed="10"/>
        <rFont val="Symbol"/>
        <family val="1"/>
      </rPr>
      <t>q</t>
    </r>
    <r>
      <rPr>
        <vertAlign val="subscript"/>
        <sz val="11"/>
        <color indexed="10"/>
        <rFont val="Times New Roman"/>
        <family val="1"/>
      </rPr>
      <t>c</t>
    </r>
    <r>
      <rPr>
        <sz val="11"/>
        <rFont val="Times New Roman"/>
        <family val="1"/>
      </rPr>
      <t>/(1 + k</t>
    </r>
    <r>
      <rPr>
        <vertAlign val="subscript"/>
        <sz val="11"/>
        <rFont val="Times New Roman"/>
        <family val="1"/>
      </rPr>
      <t>e</t>
    </r>
    <r>
      <rPr>
        <sz val="11"/>
        <rFont val="Times New Roman"/>
        <family val="1"/>
      </rPr>
      <t xml:space="preserve"> </t>
    </r>
    <r>
      <rPr>
        <sz val="11"/>
        <rFont val="Symbol"/>
        <family val="1"/>
      </rPr>
      <t>q</t>
    </r>
    <r>
      <rPr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 xml:space="preserve">) </t>
    </r>
  </si>
  <si>
    <t xml:space="preserve">equation 13.7 page 227 </t>
  </si>
  <si>
    <t>Table 12.1, but it is 8-15 for average flow and 25-35 for peak flow for extended aeration</t>
  </si>
  <si>
    <t xml:space="preserve">table 12.1, it is 3.5-4.5 m for extended aeration, although para 12.4.2.5 give depth 2 m in vertical flow tanks </t>
  </si>
  <si>
    <t>1.5-2 hrs as per table 12.1</t>
  </si>
  <si>
    <t>Pg 209-take n=.125, as per table 11.1-it is 1555</t>
  </si>
  <si>
    <r>
      <t xml:space="preserve">Provide Mehcnical Grit Chamber with Grit lift Pumps having a size of </t>
    </r>
    <r>
      <rPr>
        <b/>
        <sz val="10"/>
        <color indexed="10"/>
        <rFont val="Arial"/>
        <family val="2"/>
      </rPr>
      <t>7.6 m* 7.6 m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and 1.5 m SWD + 0.3 m Freeboard</t>
    </r>
  </si>
  <si>
    <t>Proposed pumps 4numbers (2W + 2SB), flow per Pump</t>
  </si>
  <si>
    <t>Q- per tank</t>
  </si>
  <si>
    <t>Volume of the tank required per shift of 8 hours</t>
  </si>
  <si>
    <t>Provide 2W+1SB, Capacity of each tank</t>
  </si>
  <si>
    <t>Provide a tank size of3.0m x 3.0m x(1.5m +.3m )TD</t>
  </si>
  <si>
    <t>Provide Sludge Drying Beds of Size 16 m x 16 m x 1.8  M TD - 20 No.</t>
  </si>
  <si>
    <t>Minutes</t>
  </si>
  <si>
    <t>Chlorine Contact tank 15 minute detention</t>
  </si>
  <si>
    <t>8.1*8.1*4</t>
  </si>
  <si>
    <t>m*m*m</t>
  </si>
  <si>
    <t>litres/hour</t>
  </si>
  <si>
    <t xml:space="preserve">Bleaching powder Dozers, 1W+1SB </t>
  </si>
  <si>
    <t>Kg/hour</t>
  </si>
  <si>
    <t>or Vacuum Chlorinater      1 W+1 SB</t>
  </si>
  <si>
    <t xml:space="preserve"> Design of  Sewage Treatment Plant </t>
  </si>
  <si>
    <t>Capacity: Average Flow</t>
  </si>
  <si>
    <t>for</t>
  </si>
  <si>
    <t>Hapur</t>
  </si>
  <si>
    <t>Extended Aeration Process</t>
  </si>
  <si>
    <t xml:space="preserve"> removal efficiency</t>
  </si>
  <si>
    <t>Provide a depth for the Grit Storage</t>
  </si>
  <si>
    <t xml:space="preserve">MLSS </t>
  </si>
  <si>
    <t>Guidance:Yellow cells are input information to be suitably filled. Green cells are to be reviewed and modified/updated.</t>
  </si>
  <si>
    <t>S No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</si>
</sst>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"/>
    <numFmt numFmtId="173" formatCode="0.000_)"/>
    <numFmt numFmtId="174" formatCode="0.00_)"/>
    <numFmt numFmtId="175" formatCode="0.000;[Red]0.000"/>
    <numFmt numFmtId="176" formatCode="0.0000;[Red]0.0000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0"/>
    <numFmt numFmtId="183" formatCode="0.0;[Red]0.0"/>
    <numFmt numFmtId="184" formatCode="#,##0.00;[Red]#,##0.00"/>
    <numFmt numFmtId="185" formatCode="0_)"/>
    <numFmt numFmtId="186" formatCode="_(* #,##0_);_(* \(#,##0\);_(* &quot;-&quot;??_);_(@_)"/>
    <numFmt numFmtId="187" formatCode="0.0%"/>
    <numFmt numFmtId="188" formatCode="_(* #,##0.000_);_(* \(#,##0.000\);_(* &quot;-&quot;??_);_(@_)"/>
    <numFmt numFmtId="189" formatCode="_-* #,##0.00_-;\-* #,##0.00_-;_-* &quot;-&quot;??_-;_-@_-"/>
    <numFmt numFmtId="190" formatCode="_-* #,##0_-;\-* #,##0_-;_-* &quot;-&quot;??_-;_-@_-"/>
    <numFmt numFmtId="191" formatCode="_-* #,##0.000_-;\-* #,##0.000_-;_-* &quot;-&quot;??_-;_-@_-"/>
    <numFmt numFmtId="192" formatCode="0;[Red]0"/>
    <numFmt numFmtId="193" formatCode="_(* #,##0.000000_);_(* \(#,##0.000000\);_(* &quot;-&quot;??_);_(@_)"/>
    <numFmt numFmtId="194" formatCode="_(* #,##0.0_);_(* \(#,##0.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0.00000"/>
    <numFmt numFmtId="198" formatCode="0.0000000"/>
    <numFmt numFmtId="199" formatCode="0.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&quot;$&quot;#,##0.00"/>
    <numFmt numFmtId="206" formatCode="[$€-2]\ #,##0.00_);[Red]\([$€-2]\ #,##0.00\)"/>
    <numFmt numFmtId="207" formatCode="0.000000000000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11"/>
      <name val="Arial"/>
      <family val="2"/>
    </font>
    <font>
      <vertAlign val="subscript"/>
      <sz val="14"/>
      <name val="Times New Roman"/>
      <family val="1"/>
    </font>
    <font>
      <vertAlign val="subscript"/>
      <sz val="11"/>
      <name val="Times New Roman"/>
      <family val="1"/>
    </font>
    <font>
      <sz val="11"/>
      <name val="Times New Roman"/>
      <family val="1"/>
    </font>
    <font>
      <sz val="11"/>
      <name val="Symbol"/>
      <family val="1"/>
    </font>
    <font>
      <sz val="14"/>
      <name val="Symbol"/>
      <family val="1"/>
    </font>
    <font>
      <sz val="10"/>
      <name val="Symbol"/>
      <family val="1"/>
    </font>
    <font>
      <b/>
      <sz val="10"/>
      <color indexed="17"/>
      <name val="Arial"/>
      <family val="2"/>
    </font>
    <font>
      <sz val="11"/>
      <color indexed="10"/>
      <name val="Symbol"/>
      <family val="1"/>
    </font>
    <font>
      <vertAlign val="subscript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wrapText="1"/>
    </xf>
    <xf numFmtId="2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1" fontId="0" fillId="0" borderId="15" xfId="58" applyNumberFormat="1" applyFont="1" applyFill="1" applyBorder="1" applyAlignment="1">
      <alignment horizontal="justify" vertical="top" wrapText="1"/>
      <protection/>
    </xf>
    <xf numFmtId="0" fontId="0" fillId="0" borderId="0" xfId="58" applyFont="1" applyFill="1" applyBorder="1" applyAlignment="1">
      <alignment vertical="top" wrapText="1"/>
      <protection/>
    </xf>
    <xf numFmtId="0" fontId="0" fillId="0" borderId="13" xfId="0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2" fontId="0" fillId="0" borderId="15" xfId="57" applyNumberFormat="1" applyFont="1" applyFill="1" applyBorder="1" applyAlignment="1">
      <alignment wrapText="1"/>
      <protection/>
    </xf>
    <xf numFmtId="2" fontId="0" fillId="0" borderId="0" xfId="58" applyNumberFormat="1" applyFont="1" applyFill="1" applyBorder="1" applyAlignment="1">
      <alignment horizontal="right" vertical="top"/>
      <protection/>
    </xf>
    <xf numFmtId="0" fontId="0" fillId="0" borderId="0" xfId="58" applyFont="1" applyFill="1" applyBorder="1" applyAlignment="1">
      <alignment horizontal="left" vertical="top"/>
      <protection/>
    </xf>
    <xf numFmtId="0" fontId="0" fillId="0" borderId="15" xfId="58" applyFont="1" applyFill="1" applyBorder="1" applyAlignment="1">
      <alignment vertical="top" wrapText="1"/>
      <protection/>
    </xf>
    <xf numFmtId="0" fontId="5" fillId="0" borderId="14" xfId="0" applyFont="1" applyFill="1" applyBorder="1" applyAlignment="1">
      <alignment vertical="top" wrapText="1"/>
    </xf>
    <xf numFmtId="182" fontId="0" fillId="0" borderId="0" xfId="58" applyNumberFormat="1" applyFont="1" applyFill="1" applyBorder="1" applyAlignment="1">
      <alignment vertical="top" wrapText="1"/>
      <protection/>
    </xf>
    <xf numFmtId="172" fontId="0" fillId="0" borderId="0" xfId="58" applyNumberFormat="1" applyFont="1" applyFill="1" applyBorder="1" applyAlignment="1">
      <alignment horizontal="right" vertical="top"/>
      <protection/>
    </xf>
    <xf numFmtId="1" fontId="0" fillId="0" borderId="0" xfId="58" applyNumberFormat="1" applyFont="1" applyFill="1" applyBorder="1" applyAlignment="1">
      <alignment vertical="top" wrapText="1"/>
      <protection/>
    </xf>
    <xf numFmtId="2" fontId="0" fillId="0" borderId="0" xfId="58" applyNumberFormat="1" applyFont="1" applyFill="1" applyBorder="1" applyAlignment="1">
      <alignment vertical="top" wrapText="1"/>
      <protection/>
    </xf>
    <xf numFmtId="205" fontId="0" fillId="0" borderId="14" xfId="0" applyNumberFormat="1" applyFont="1" applyFill="1" applyBorder="1" applyAlignment="1">
      <alignment vertical="top" wrapText="1"/>
    </xf>
    <xf numFmtId="2" fontId="0" fillId="0" borderId="15" xfId="58" applyNumberFormat="1" applyFont="1" applyFill="1" applyBorder="1" applyAlignment="1">
      <alignment vertical="top" wrapText="1"/>
      <protection/>
    </xf>
    <xf numFmtId="0" fontId="10" fillId="0" borderId="14" xfId="0" applyFont="1" applyFill="1" applyBorder="1" applyAlignment="1">
      <alignment horizontal="center" wrapText="1"/>
    </xf>
    <xf numFmtId="2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2" fontId="0" fillId="0" borderId="14" xfId="0" applyNumberFormat="1" applyFont="1" applyFill="1" applyBorder="1" applyAlignment="1">
      <alignment/>
    </xf>
    <xf numFmtId="198" fontId="0" fillId="0" borderId="14" xfId="0" applyNumberFormat="1" applyFont="1" applyFill="1" applyBorder="1" applyAlignment="1">
      <alignment/>
    </xf>
    <xf numFmtId="199" fontId="0" fillId="0" borderId="14" xfId="0" applyNumberFormat="1" applyFont="1" applyFill="1" applyBorder="1" applyAlignment="1">
      <alignment/>
    </xf>
    <xf numFmtId="0" fontId="0" fillId="0" borderId="14" xfId="58" applyFont="1" applyFill="1" applyBorder="1" applyAlignment="1">
      <alignment horizontal="left" vertical="top" wrapText="1"/>
      <protection/>
    </xf>
    <xf numFmtId="0" fontId="5" fillId="0" borderId="14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/>
    </xf>
    <xf numFmtId="0" fontId="0" fillId="0" borderId="14" xfId="58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2" fontId="0" fillId="0" borderId="15" xfId="0" applyNumberFormat="1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 quotePrefix="1">
      <alignment horizontal="left" wrapText="1"/>
    </xf>
    <xf numFmtId="0" fontId="0" fillId="0" borderId="15" xfId="0" applyFont="1" applyBorder="1" applyAlignment="1" quotePrefix="1">
      <alignment horizontal="left" wrapText="1"/>
    </xf>
    <xf numFmtId="0" fontId="7" fillId="0" borderId="14" xfId="0" applyFont="1" applyBorder="1" applyAlignment="1">
      <alignment wrapText="1"/>
    </xf>
    <xf numFmtId="2" fontId="5" fillId="0" borderId="15" xfId="0" applyNumberFormat="1" applyFont="1" applyBorder="1" applyAlignment="1">
      <alignment wrapText="1"/>
    </xf>
    <xf numFmtId="0" fontId="7" fillId="35" borderId="14" xfId="0" applyFont="1" applyFill="1" applyBorder="1" applyAlignment="1" quotePrefix="1">
      <alignment horizontal="left" wrapText="1"/>
    </xf>
    <xf numFmtId="0" fontId="7" fillId="35" borderId="14" xfId="0" applyFont="1" applyFill="1" applyBorder="1" applyAlignment="1">
      <alignment horizontal="center"/>
    </xf>
    <xf numFmtId="2" fontId="7" fillId="35" borderId="15" xfId="0" applyNumberFormat="1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 wrapText="1"/>
    </xf>
    <xf numFmtId="172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justify"/>
    </xf>
    <xf numFmtId="2" fontId="0" fillId="0" borderId="0" xfId="0" applyNumberFormat="1" applyFont="1" applyBorder="1" applyAlignment="1">
      <alignment/>
    </xf>
    <xf numFmtId="0" fontId="13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10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vertical="top" wrapText="1"/>
    </xf>
    <xf numFmtId="181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5" fillId="0" borderId="14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wrapText="1"/>
    </xf>
    <xf numFmtId="181" fontId="0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10" fillId="0" borderId="13" xfId="0" applyFont="1" applyBorder="1" applyAlignment="1">
      <alignment horizontal="right"/>
    </xf>
    <xf numFmtId="0" fontId="5" fillId="0" borderId="15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wrapText="1"/>
    </xf>
    <xf numFmtId="0" fontId="5" fillId="0" borderId="13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199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2" fontId="5" fillId="35" borderId="25" xfId="0" applyNumberFormat="1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207" fontId="0" fillId="0" borderId="15" xfId="0" applyNumberFormat="1" applyFont="1" applyBorder="1" applyAlignment="1">
      <alignment wrapText="1"/>
    </xf>
    <xf numFmtId="2" fontId="0" fillId="36" borderId="14" xfId="42" applyNumberFormat="1" applyFont="1" applyFill="1" applyBorder="1" applyAlignment="1">
      <alignment/>
    </xf>
    <xf numFmtId="2" fontId="0" fillId="36" borderId="14" xfId="0" applyNumberFormat="1" applyFont="1" applyFill="1" applyBorder="1" applyAlignment="1" quotePrefix="1">
      <alignment vertical="top"/>
    </xf>
    <xf numFmtId="0" fontId="0" fillId="36" borderId="15" xfId="0" applyFont="1" applyFill="1" applyBorder="1" applyAlignment="1">
      <alignment wrapText="1"/>
    </xf>
    <xf numFmtId="2" fontId="0" fillId="37" borderId="14" xfId="0" applyNumberFormat="1" applyFont="1" applyFill="1" applyBorder="1" applyAlignment="1">
      <alignment/>
    </xf>
    <xf numFmtId="0" fontId="0" fillId="37" borderId="15" xfId="0" applyFont="1" applyFill="1" applyBorder="1" applyAlignment="1">
      <alignment wrapText="1"/>
    </xf>
    <xf numFmtId="0" fontId="59" fillId="0" borderId="0" xfId="0" applyFont="1" applyBorder="1" applyAlignment="1">
      <alignment/>
    </xf>
    <xf numFmtId="0" fontId="0" fillId="37" borderId="14" xfId="58" applyFont="1" applyFill="1" applyBorder="1" applyAlignment="1">
      <alignment horizontal="left" vertical="top" wrapText="1"/>
      <protection/>
    </xf>
    <xf numFmtId="1" fontId="0" fillId="37" borderId="14" xfId="58" applyNumberFormat="1" applyFont="1" applyFill="1" applyBorder="1" applyAlignment="1">
      <alignment horizontal="right" vertical="top" wrapText="1"/>
      <protection/>
    </xf>
    <xf numFmtId="0" fontId="0" fillId="37" borderId="15" xfId="58" applyFont="1" applyFill="1" applyBorder="1" applyAlignment="1">
      <alignment horizontal="left" vertical="top" wrapText="1"/>
      <protection/>
    </xf>
    <xf numFmtId="0" fontId="12" fillId="37" borderId="15" xfId="0" applyFont="1" applyFill="1" applyBorder="1" applyAlignment="1">
      <alignment horizontal="center" wrapText="1"/>
    </xf>
    <xf numFmtId="2" fontId="10" fillId="37" borderId="14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vertical="center"/>
    </xf>
    <xf numFmtId="0" fontId="0" fillId="37" borderId="14" xfId="0" applyFont="1" applyFill="1" applyBorder="1" applyAlignment="1">
      <alignment/>
    </xf>
    <xf numFmtId="0" fontId="6" fillId="37" borderId="14" xfId="0" applyFont="1" applyFill="1" applyBorder="1" applyAlignment="1">
      <alignment horizontal="right"/>
    </xf>
    <xf numFmtId="2" fontId="0" fillId="37" borderId="14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2" fontId="0" fillId="36" borderId="14" xfId="0" applyNumberFormat="1" applyFont="1" applyFill="1" applyBorder="1" applyAlignment="1">
      <alignment/>
    </xf>
    <xf numFmtId="2" fontId="0" fillId="38" borderId="14" xfId="0" applyNumberFormat="1" applyFont="1" applyFill="1" applyBorder="1" applyAlignment="1">
      <alignment/>
    </xf>
    <xf numFmtId="2" fontId="0" fillId="38" borderId="14" xfId="0" applyNumberFormat="1" applyFont="1" applyFill="1" applyBorder="1" applyAlignment="1">
      <alignment horizontal="right"/>
    </xf>
    <xf numFmtId="2" fontId="0" fillId="38" borderId="14" xfId="0" applyNumberFormat="1" applyFont="1" applyFill="1" applyBorder="1" applyAlignment="1">
      <alignment vertical="top"/>
    </xf>
    <xf numFmtId="1" fontId="0" fillId="38" borderId="14" xfId="0" applyNumberFormat="1" applyFont="1" applyFill="1" applyBorder="1" applyAlignment="1">
      <alignment/>
    </xf>
    <xf numFmtId="2" fontId="5" fillId="36" borderId="14" xfId="0" applyNumberFormat="1" applyFont="1" applyFill="1" applyBorder="1" applyAlignment="1">
      <alignment/>
    </xf>
    <xf numFmtId="172" fontId="0" fillId="36" borderId="14" xfId="0" applyNumberFormat="1" applyFont="1" applyFill="1" applyBorder="1" applyAlignment="1">
      <alignment/>
    </xf>
    <xf numFmtId="2" fontId="5" fillId="36" borderId="14" xfId="0" applyNumberFormat="1" applyFont="1" applyFill="1" applyBorder="1" applyAlignment="1">
      <alignment horizontal="left" wrapText="1"/>
    </xf>
    <xf numFmtId="0" fontId="12" fillId="38" borderId="14" xfId="0" applyFont="1" applyFill="1" applyBorder="1" applyAlignment="1">
      <alignment horizontal="center"/>
    </xf>
    <xf numFmtId="9" fontId="12" fillId="38" borderId="14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2" fontId="5" fillId="38" borderId="14" xfId="0" applyNumberFormat="1" applyFont="1" applyFill="1" applyBorder="1" applyAlignment="1">
      <alignment/>
    </xf>
    <xf numFmtId="2" fontId="5" fillId="38" borderId="14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" fillId="34" borderId="27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59" fillId="36" borderId="0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P-C" xfId="57"/>
    <cellStyle name="Normal_Udipistp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tata\kuidfc-20%20to\vijai's%20documents\vijai's%20wkg%20refs\urban%20development\RUIDP\JAIPUR\DATA\RP-JAM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tata\kuidfc-20%20to\vijai's%20documents\vijai's%20wkg%20refs\urban%20development\RUIDP\JAIPUR\DATA\RP-JA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tata\KUIDFC-20%20TO\21%20towns-Information\hospet\kuidfc_nkuidp%20(pfs%20wbook%20_Hosp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- Contents"/>
      <sheetName val="26- Population &amp; Density"/>
      <sheetName val="27- JMC- Roads &amp; SWD"/>
      <sheetName val="28- Road- Inventory "/>
      <sheetName val="29- Storm Water Drain-Inventory"/>
      <sheetName val="30- Population Growth- Jaipur"/>
      <sheetName val="31- Jaipur- Financial Statement"/>
      <sheetName val="32- Analysis-Income"/>
      <sheetName val="33- Analysis-Expenditure"/>
      <sheetName val="34- Octroi Collections"/>
      <sheetName val="A- JMC- Proposals"/>
      <sheetName val="B- SWM- Composition"/>
      <sheetName val="C- JMC Road &amp; SWD"/>
      <sheetName val="D- Codes"/>
      <sheetName val="E- JMC Property Tax"/>
      <sheetName val="0- Actual Accounts"/>
      <sheetName val="1- Abstract of Accounts"/>
      <sheetName val="2- Tax Rates, Base and DCB"/>
      <sheetName val="3- Financial Indicators"/>
      <sheetName val="4- FOP Assumptions"/>
      <sheetName val="5A-Project Cash Flow - Full HPI"/>
      <sheetName val="5B-Project Cash Flow- Sust. HPI"/>
      <sheetName val="6- Financial Operating Plan"/>
      <sheetName val="Liability Statement"/>
      <sheetName val="9-Grand Summary of Accounts"/>
      <sheetName val="10-FOP Tables"/>
    </sheetNames>
    <sheetDataSet>
      <sheetData sheetId="9">
        <row r="6">
          <cell r="B6" t="str">
            <v>I</v>
          </cell>
          <cell r="C6" t="str">
            <v>Establishment</v>
          </cell>
        </row>
        <row r="7">
          <cell r="B7">
            <v>1</v>
          </cell>
          <cell r="C7" t="str">
            <v>General Administration</v>
          </cell>
          <cell r="D7">
            <v>79.33</v>
          </cell>
          <cell r="E7">
            <v>118.35</v>
          </cell>
          <cell r="F7">
            <v>125.82000000000001</v>
          </cell>
          <cell r="G7">
            <v>139.36</v>
          </cell>
          <cell r="H7">
            <v>147.64</v>
          </cell>
        </row>
        <row r="8">
          <cell r="B8">
            <v>2</v>
          </cell>
          <cell r="C8" t="str">
            <v>Octroi</v>
          </cell>
          <cell r="D8">
            <v>47.59</v>
          </cell>
          <cell r="E8">
            <v>73.52000000000001</v>
          </cell>
          <cell r="F8">
            <v>87.09</v>
          </cell>
          <cell r="G8">
            <v>92.96000000000001</v>
          </cell>
          <cell r="H8">
            <v>108.8</v>
          </cell>
        </row>
        <row r="9">
          <cell r="B9">
            <v>3</v>
          </cell>
          <cell r="C9" t="str">
            <v>Land and Buildings Tax </v>
          </cell>
          <cell r="D9">
            <v>26.39</v>
          </cell>
          <cell r="E9">
            <v>46.29</v>
          </cell>
          <cell r="F9">
            <v>74.56</v>
          </cell>
          <cell r="G9">
            <v>73.17</v>
          </cell>
          <cell r="H9">
            <v>87.08</v>
          </cell>
        </row>
        <row r="10">
          <cell r="B10">
            <v>4</v>
          </cell>
          <cell r="C10" t="str">
            <v>Other Revenue Department</v>
          </cell>
          <cell r="D10">
            <v>25.25</v>
          </cell>
          <cell r="E10">
            <v>31.48</v>
          </cell>
          <cell r="F10">
            <v>28.97</v>
          </cell>
          <cell r="G10">
            <v>32.84</v>
          </cell>
          <cell r="H10">
            <v>37.56</v>
          </cell>
        </row>
        <row r="11">
          <cell r="B11">
            <v>5</v>
          </cell>
          <cell r="C11" t="str">
            <v>Health Department </v>
          </cell>
          <cell r="D11">
            <v>1053.1100000000001</v>
          </cell>
          <cell r="E11">
            <v>1343.92</v>
          </cell>
          <cell r="F11">
            <v>1586.5900000000001</v>
          </cell>
          <cell r="G11">
            <v>1807.8200000000002</v>
          </cell>
          <cell r="H11">
            <v>2100.2799999999997</v>
          </cell>
        </row>
        <row r="12">
          <cell r="B12">
            <v>6</v>
          </cell>
          <cell r="C12" t="str">
            <v>Garage</v>
          </cell>
          <cell r="D12">
            <v>59.699999999999996</v>
          </cell>
          <cell r="E12">
            <v>70.19</v>
          </cell>
          <cell r="F12">
            <v>77.45</v>
          </cell>
          <cell r="G12">
            <v>87.28999999999999</v>
          </cell>
          <cell r="H12">
            <v>110.72</v>
          </cell>
        </row>
        <row r="13">
          <cell r="B13">
            <v>7</v>
          </cell>
          <cell r="C13" t="str">
            <v>Fire Services</v>
          </cell>
          <cell r="D13">
            <v>19.96</v>
          </cell>
          <cell r="E13">
            <v>23.96</v>
          </cell>
          <cell r="F13">
            <v>23.72</v>
          </cell>
          <cell r="G13">
            <v>27.84</v>
          </cell>
          <cell r="H13">
            <v>32.31</v>
          </cell>
        </row>
        <row r="14">
          <cell r="B14">
            <v>8</v>
          </cell>
          <cell r="C14" t="str">
            <v>Street Lighting</v>
          </cell>
          <cell r="D14">
            <v>28.09</v>
          </cell>
          <cell r="E14">
            <v>32.71</v>
          </cell>
          <cell r="F14">
            <v>42.39</v>
          </cell>
          <cell r="G14">
            <v>47.04</v>
          </cell>
          <cell r="H14">
            <v>55.17</v>
          </cell>
        </row>
        <row r="15">
          <cell r="B15">
            <v>9</v>
          </cell>
          <cell r="C15" t="str">
            <v>Animal Husbandry/House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10</v>
          </cell>
          <cell r="C16" t="str">
            <v>Parks</v>
          </cell>
          <cell r="D16">
            <v>24.22</v>
          </cell>
          <cell r="E16">
            <v>24.189999999999998</v>
          </cell>
          <cell r="F16">
            <v>24.240000000000002</v>
          </cell>
          <cell r="G16">
            <v>31.88</v>
          </cell>
          <cell r="H16">
            <v>29.25</v>
          </cell>
        </row>
        <row r="17">
          <cell r="B17">
            <v>11</v>
          </cell>
          <cell r="C17" t="str">
            <v>Public Works</v>
          </cell>
          <cell r="D17">
            <v>83.81</v>
          </cell>
          <cell r="E17">
            <v>90.63</v>
          </cell>
          <cell r="F17">
            <v>108.32</v>
          </cell>
          <cell r="G17">
            <v>131.47</v>
          </cell>
          <cell r="H17">
            <v>164.62</v>
          </cell>
        </row>
        <row r="18">
          <cell r="B18">
            <v>12</v>
          </cell>
          <cell r="C18" t="str">
            <v>ULB Commercial Properties</v>
          </cell>
          <cell r="D18">
            <v>0.05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13</v>
          </cell>
          <cell r="C19" t="str">
            <v>Other Departments</v>
          </cell>
          <cell r="D19">
            <v>3.35</v>
          </cell>
          <cell r="E19">
            <v>3.27</v>
          </cell>
          <cell r="F19">
            <v>4.34</v>
          </cell>
          <cell r="G19">
            <v>5.08</v>
          </cell>
          <cell r="H19">
            <v>4.57</v>
          </cell>
        </row>
        <row r="20">
          <cell r="C20" t="str">
            <v>Total Establishment Expenditure</v>
          </cell>
          <cell r="D20">
            <v>1450.85</v>
          </cell>
          <cell r="E20">
            <v>1858.5100000000002</v>
          </cell>
          <cell r="F20">
            <v>2183.4900000000007</v>
          </cell>
          <cell r="G20">
            <v>2476.75</v>
          </cell>
          <cell r="H20">
            <v>2877.9999999999995</v>
          </cell>
        </row>
        <row r="22">
          <cell r="B22" t="str">
            <v>II</v>
          </cell>
          <cell r="C22" t="str">
            <v>Other Expenditure  and O &amp; M</v>
          </cell>
        </row>
        <row r="23">
          <cell r="B23">
            <v>1</v>
          </cell>
          <cell r="C23" t="str">
            <v>General Administration</v>
          </cell>
          <cell r="D23">
            <v>98.51</v>
          </cell>
          <cell r="E23">
            <v>112.55</v>
          </cell>
          <cell r="F23">
            <v>207.93</v>
          </cell>
          <cell r="G23">
            <v>190.47</v>
          </cell>
          <cell r="H23">
            <v>201.01</v>
          </cell>
        </row>
        <row r="24">
          <cell r="B24">
            <v>2</v>
          </cell>
          <cell r="C24" t="str">
            <v>Octroi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3</v>
          </cell>
          <cell r="C25" t="str">
            <v>Land and Buildings Tax 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4</v>
          </cell>
          <cell r="C26" t="str">
            <v>Other Revenue Department</v>
          </cell>
          <cell r="D26">
            <v>4.93</v>
          </cell>
          <cell r="E26">
            <v>5.1</v>
          </cell>
          <cell r="F26">
            <v>24.69</v>
          </cell>
          <cell r="G26">
            <v>50.53</v>
          </cell>
          <cell r="H26">
            <v>51.59</v>
          </cell>
        </row>
        <row r="27">
          <cell r="C27" t="str">
            <v>Sub Total Other Expenditure</v>
          </cell>
          <cell r="D27">
            <v>103.44</v>
          </cell>
          <cell r="E27">
            <v>117.64999999999999</v>
          </cell>
          <cell r="F27">
            <v>232.62</v>
          </cell>
          <cell r="G27">
            <v>241</v>
          </cell>
          <cell r="H27">
            <v>252.6</v>
          </cell>
        </row>
        <row r="28">
          <cell r="B28">
            <v>5</v>
          </cell>
          <cell r="C28" t="str">
            <v>Health Department </v>
          </cell>
          <cell r="D28">
            <v>12.26</v>
          </cell>
          <cell r="E28">
            <v>16.41</v>
          </cell>
          <cell r="F28">
            <v>22.77</v>
          </cell>
          <cell r="G28">
            <v>27.17</v>
          </cell>
          <cell r="H28">
            <v>34.79</v>
          </cell>
        </row>
        <row r="29">
          <cell r="B29">
            <v>6</v>
          </cell>
          <cell r="C29" t="str">
            <v>Garage</v>
          </cell>
          <cell r="D29">
            <v>195.03</v>
          </cell>
          <cell r="E29">
            <v>235.39</v>
          </cell>
          <cell r="F29">
            <v>303.57</v>
          </cell>
          <cell r="G29">
            <v>313.35</v>
          </cell>
          <cell r="H29">
            <v>414.54</v>
          </cell>
        </row>
        <row r="30">
          <cell r="B30">
            <v>7</v>
          </cell>
          <cell r="C30" t="str">
            <v>Fire Services</v>
          </cell>
          <cell r="D30">
            <v>11.46</v>
          </cell>
          <cell r="E30">
            <v>4.32</v>
          </cell>
          <cell r="F30">
            <v>6.49</v>
          </cell>
          <cell r="G30">
            <v>12.69</v>
          </cell>
          <cell r="H30">
            <v>8.89</v>
          </cell>
        </row>
        <row r="31">
          <cell r="B31">
            <v>8</v>
          </cell>
          <cell r="C31" t="str">
            <v>Street Lighting</v>
          </cell>
          <cell r="D31">
            <v>83.05</v>
          </cell>
          <cell r="E31">
            <v>158.78</v>
          </cell>
          <cell r="F31">
            <v>446.86</v>
          </cell>
          <cell r="G31">
            <v>292.56</v>
          </cell>
          <cell r="H31">
            <v>358.54</v>
          </cell>
        </row>
        <row r="32">
          <cell r="B32">
            <v>9</v>
          </cell>
          <cell r="C32" t="str">
            <v>Animal Husbandry/House</v>
          </cell>
          <cell r="D32">
            <v>1.87</v>
          </cell>
          <cell r="E32">
            <v>6.13</v>
          </cell>
          <cell r="F32">
            <v>5.53</v>
          </cell>
          <cell r="G32">
            <v>13.26</v>
          </cell>
          <cell r="H32">
            <v>26.68</v>
          </cell>
        </row>
        <row r="33">
          <cell r="B33">
            <v>10</v>
          </cell>
          <cell r="C33" t="str">
            <v>Parks</v>
          </cell>
          <cell r="D33">
            <v>0.88</v>
          </cell>
          <cell r="E33">
            <v>4.31</v>
          </cell>
          <cell r="F33">
            <v>7.48</v>
          </cell>
          <cell r="G33">
            <v>8.58</v>
          </cell>
          <cell r="H33">
            <v>26.21</v>
          </cell>
        </row>
        <row r="34">
          <cell r="B34">
            <v>11</v>
          </cell>
          <cell r="C34" t="str">
            <v>Public Works</v>
          </cell>
          <cell r="D34">
            <v>32.51</v>
          </cell>
          <cell r="E34">
            <v>63.68</v>
          </cell>
          <cell r="F34">
            <v>133.02</v>
          </cell>
          <cell r="G34">
            <v>75.81</v>
          </cell>
          <cell r="H34">
            <v>38.57</v>
          </cell>
        </row>
        <row r="35">
          <cell r="B35">
            <v>12</v>
          </cell>
          <cell r="C35" t="str">
            <v>ULB Commercial Properties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13</v>
          </cell>
          <cell r="C36" t="str">
            <v>Other Departments</v>
          </cell>
          <cell r="D36">
            <v>0</v>
          </cell>
          <cell r="E36">
            <v>0.02</v>
          </cell>
          <cell r="F36">
            <v>0.25</v>
          </cell>
          <cell r="G36">
            <v>0.51</v>
          </cell>
          <cell r="H36">
            <v>0.47</v>
          </cell>
        </row>
        <row r="37">
          <cell r="C37" t="str">
            <v>Sub Total O &amp; M Expenditure</v>
          </cell>
          <cell r="D37">
            <v>337.06</v>
          </cell>
          <cell r="E37">
            <v>489.03999999999996</v>
          </cell>
          <cell r="F37">
            <v>925.97</v>
          </cell>
          <cell r="G37">
            <v>743.9300000000001</v>
          </cell>
          <cell r="H37">
            <v>908.69</v>
          </cell>
        </row>
        <row r="38">
          <cell r="C38" t="str">
            <v>Total II</v>
          </cell>
          <cell r="D38">
            <v>440.5</v>
          </cell>
          <cell r="E38">
            <v>606.6899999999999</v>
          </cell>
          <cell r="F38">
            <v>1158.5900000000001</v>
          </cell>
          <cell r="G38">
            <v>984.9300000000001</v>
          </cell>
          <cell r="H38">
            <v>1161.29</v>
          </cell>
        </row>
        <row r="40">
          <cell r="B40" t="str">
            <v>III</v>
          </cell>
          <cell r="C40" t="str">
            <v>Grant Works</v>
          </cell>
        </row>
        <row r="41">
          <cell r="C41" t="str">
            <v>Road, Drains &amp; Blds. Maintainance </v>
          </cell>
          <cell r="D41">
            <v>0</v>
          </cell>
          <cell r="E41">
            <v>105.96</v>
          </cell>
          <cell r="F41">
            <v>162.46</v>
          </cell>
          <cell r="G41">
            <v>207.41</v>
          </cell>
          <cell r="H41">
            <v>267.66</v>
          </cell>
        </row>
        <row r="43">
          <cell r="B43" t="str">
            <v>IV</v>
          </cell>
          <cell r="C43" t="str">
            <v>Pension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5">
          <cell r="B45" t="str">
            <v>V a</v>
          </cell>
          <cell r="C45" t="str">
            <v>Loan Repayments- Principal</v>
          </cell>
        </row>
        <row r="46">
          <cell r="B46">
            <v>1</v>
          </cell>
          <cell r="C46" t="str">
            <v>Central Government</v>
          </cell>
          <cell r="D46">
            <v>0</v>
          </cell>
          <cell r="E46">
            <v>10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2</v>
          </cell>
          <cell r="C47" t="str">
            <v>State Government</v>
          </cell>
          <cell r="D47">
            <v>0</v>
          </cell>
          <cell r="E47">
            <v>0</v>
          </cell>
          <cell r="F47">
            <v>53.93</v>
          </cell>
          <cell r="G47">
            <v>34.55</v>
          </cell>
          <cell r="H47">
            <v>225.05</v>
          </cell>
        </row>
        <row r="48">
          <cell r="B48">
            <v>3</v>
          </cell>
          <cell r="C48" t="str">
            <v>Financial Institutions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4</v>
          </cell>
          <cell r="C49" t="str">
            <v>Others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 t="str">
            <v>Total Principal Paid</v>
          </cell>
          <cell r="D50">
            <v>0</v>
          </cell>
          <cell r="E50">
            <v>10</v>
          </cell>
          <cell r="F50">
            <v>53.93</v>
          </cell>
          <cell r="G50">
            <v>34.55</v>
          </cell>
          <cell r="H50">
            <v>225.05</v>
          </cell>
        </row>
        <row r="52">
          <cell r="B52" t="str">
            <v>V b</v>
          </cell>
          <cell r="C52" t="str">
            <v>Loan Repayments- Interest</v>
          </cell>
        </row>
        <row r="53">
          <cell r="B53">
            <v>1</v>
          </cell>
          <cell r="C53" t="str">
            <v>Central Government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2</v>
          </cell>
          <cell r="C54" t="str">
            <v>State Government</v>
          </cell>
          <cell r="D54">
            <v>22.98</v>
          </cell>
          <cell r="E54">
            <v>1.61</v>
          </cell>
          <cell r="F54">
            <v>22.42</v>
          </cell>
          <cell r="G54">
            <v>21.09</v>
          </cell>
          <cell r="H54">
            <v>34.75</v>
          </cell>
        </row>
        <row r="55">
          <cell r="B55">
            <v>3</v>
          </cell>
          <cell r="C55" t="str">
            <v>Financial Institutions</v>
          </cell>
          <cell r="D55">
            <v>35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4</v>
          </cell>
          <cell r="C56" t="str">
            <v>Others</v>
          </cell>
          <cell r="D56">
            <v>7.6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 t="str">
            <v>Total Interest  Paid</v>
          </cell>
          <cell r="D57">
            <v>65.58</v>
          </cell>
          <cell r="E57">
            <v>1.61</v>
          </cell>
          <cell r="F57">
            <v>22.42</v>
          </cell>
          <cell r="G57">
            <v>21.09</v>
          </cell>
          <cell r="H57">
            <v>34.75</v>
          </cell>
        </row>
        <row r="59">
          <cell r="C59" t="str">
            <v>Total- Principal + Interest</v>
          </cell>
          <cell r="D59">
            <v>65.58</v>
          </cell>
          <cell r="E59">
            <v>11.61</v>
          </cell>
          <cell r="F59">
            <v>76.35</v>
          </cell>
          <cell r="G59">
            <v>55.64</v>
          </cell>
          <cell r="H59">
            <v>259.8</v>
          </cell>
        </row>
        <row r="61">
          <cell r="C61" t="str">
            <v>Total Revenue Expendtiture</v>
          </cell>
          <cell r="D61">
            <v>1956.9299999999998</v>
          </cell>
          <cell r="E61">
            <v>2582.7700000000004</v>
          </cell>
          <cell r="F61">
            <v>3580.890000000001</v>
          </cell>
          <cell r="G61">
            <v>3724.73</v>
          </cell>
          <cell r="H61">
            <v>4566.75</v>
          </cell>
        </row>
        <row r="63">
          <cell r="B63" t="str">
            <v>B</v>
          </cell>
          <cell r="C63" t="str">
            <v>Capital Account</v>
          </cell>
        </row>
        <row r="64">
          <cell r="B64" t="str">
            <v>I</v>
          </cell>
          <cell r="C64" t="str">
            <v>Development Works- Non Grant</v>
          </cell>
        </row>
        <row r="65">
          <cell r="B65">
            <v>1</v>
          </cell>
          <cell r="C65" t="str">
            <v>Roads</v>
          </cell>
          <cell r="D65">
            <v>81.93</v>
          </cell>
          <cell r="E65">
            <v>192.56</v>
          </cell>
          <cell r="F65">
            <v>226.84</v>
          </cell>
          <cell r="G65">
            <v>267.3</v>
          </cell>
          <cell r="H65">
            <v>429.44</v>
          </cell>
        </row>
        <row r="66">
          <cell r="B66">
            <v>2</v>
          </cell>
          <cell r="C66" t="str">
            <v>Other Construction Works</v>
          </cell>
          <cell r="D66">
            <v>205.5</v>
          </cell>
          <cell r="E66">
            <v>433.4</v>
          </cell>
          <cell r="F66">
            <v>470.19</v>
          </cell>
          <cell r="G66">
            <v>499.76</v>
          </cell>
          <cell r="H66">
            <v>484.13</v>
          </cell>
        </row>
        <row r="67">
          <cell r="B67">
            <v>3</v>
          </cell>
          <cell r="C67" t="str">
            <v>Low Cost Sanitation</v>
          </cell>
          <cell r="D67">
            <v>0</v>
          </cell>
          <cell r="E67">
            <v>0</v>
          </cell>
          <cell r="F67">
            <v>0</v>
          </cell>
          <cell r="G67">
            <v>30</v>
          </cell>
          <cell r="H67">
            <v>0</v>
          </cell>
        </row>
        <row r="68">
          <cell r="B68">
            <v>4</v>
          </cell>
          <cell r="C68" t="str">
            <v>Public Toilets Construction</v>
          </cell>
          <cell r="D68">
            <v>0</v>
          </cell>
          <cell r="E68">
            <v>0</v>
          </cell>
          <cell r="F68">
            <v>114.92</v>
          </cell>
          <cell r="G68">
            <v>52.56</v>
          </cell>
          <cell r="H68">
            <v>20.13</v>
          </cell>
        </row>
        <row r="69">
          <cell r="B69">
            <v>5</v>
          </cell>
          <cell r="C69" t="str">
            <v>Octroi Office/Compensation</v>
          </cell>
          <cell r="D69">
            <v>5.62</v>
          </cell>
          <cell r="E69">
            <v>4.65</v>
          </cell>
          <cell r="F69">
            <v>34.76</v>
          </cell>
          <cell r="G69">
            <v>34.09</v>
          </cell>
          <cell r="H69">
            <v>59.52</v>
          </cell>
        </row>
        <row r="70">
          <cell r="B70">
            <v>6</v>
          </cell>
          <cell r="C70" t="str">
            <v>Street Lightings</v>
          </cell>
          <cell r="D70">
            <v>18.58</v>
          </cell>
          <cell r="E70">
            <v>20.84</v>
          </cell>
          <cell r="F70">
            <v>43.37</v>
          </cell>
          <cell r="G70">
            <v>68.75999999999999</v>
          </cell>
          <cell r="H70">
            <v>21.05</v>
          </cell>
        </row>
        <row r="71">
          <cell r="B71">
            <v>7</v>
          </cell>
          <cell r="C71" t="str">
            <v>Parks Development</v>
          </cell>
          <cell r="D71">
            <v>24.23</v>
          </cell>
          <cell r="E71">
            <v>99.4</v>
          </cell>
          <cell r="F71">
            <v>131.88</v>
          </cell>
          <cell r="G71">
            <v>97.15</v>
          </cell>
          <cell r="H71">
            <v>44.38</v>
          </cell>
        </row>
        <row r="72">
          <cell r="B72">
            <v>8</v>
          </cell>
          <cell r="C72" t="str">
            <v>Water Supply Works</v>
          </cell>
          <cell r="D72">
            <v>65.96</v>
          </cell>
          <cell r="E72">
            <v>63.09</v>
          </cell>
          <cell r="F72">
            <v>86.71</v>
          </cell>
          <cell r="G72">
            <v>98.39</v>
          </cell>
          <cell r="H72">
            <v>300.47</v>
          </cell>
        </row>
        <row r="73">
          <cell r="C73" t="str">
            <v>Total Development Works- Non Grant</v>
          </cell>
          <cell r="D73">
            <v>401.82</v>
          </cell>
          <cell r="E73">
            <v>813.94</v>
          </cell>
          <cell r="F73">
            <v>1108.6699999999998</v>
          </cell>
          <cell r="G73">
            <v>1148.01</v>
          </cell>
          <cell r="H73">
            <v>1359.12</v>
          </cell>
        </row>
        <row r="75">
          <cell r="B75" t="str">
            <v>II</v>
          </cell>
          <cell r="C75" t="str">
            <v>Development Works-  Grant</v>
          </cell>
        </row>
        <row r="76">
          <cell r="B76">
            <v>1</v>
          </cell>
          <cell r="C76" t="str">
            <v>Roads and Drains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>
            <v>2</v>
          </cell>
          <cell r="C77" t="str">
            <v>Low Cost Sanitation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3</v>
          </cell>
          <cell r="C78" t="str">
            <v>Environment</v>
          </cell>
          <cell r="D78">
            <v>8.65</v>
          </cell>
          <cell r="E78">
            <v>0</v>
          </cell>
          <cell r="F78">
            <v>0</v>
          </cell>
          <cell r="G78">
            <v>27.22</v>
          </cell>
          <cell r="H78">
            <v>7.47</v>
          </cell>
        </row>
        <row r="79">
          <cell r="B79">
            <v>4</v>
          </cell>
          <cell r="C79" t="str">
            <v>IUDP</v>
          </cell>
          <cell r="D79">
            <v>0</v>
          </cell>
          <cell r="E79">
            <v>0</v>
          </cell>
          <cell r="F79">
            <v>22.95</v>
          </cell>
          <cell r="G79">
            <v>4.8</v>
          </cell>
          <cell r="H79">
            <v>6.47</v>
          </cell>
        </row>
        <row r="80">
          <cell r="B80">
            <v>5</v>
          </cell>
          <cell r="C80" t="str">
            <v>Public Health</v>
          </cell>
          <cell r="D80">
            <v>0</v>
          </cell>
          <cell r="E80">
            <v>0</v>
          </cell>
          <cell r="F80">
            <v>0</v>
          </cell>
          <cell r="G80">
            <v>8.46</v>
          </cell>
          <cell r="H80">
            <v>0</v>
          </cell>
        </row>
        <row r="81">
          <cell r="B81">
            <v>6</v>
          </cell>
          <cell r="C81" t="str">
            <v>Fire Services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>
            <v>7</v>
          </cell>
          <cell r="C82" t="str">
            <v>Others</v>
          </cell>
          <cell r="D82">
            <v>1.22</v>
          </cell>
          <cell r="E82">
            <v>1.22</v>
          </cell>
          <cell r="F82">
            <v>7.6</v>
          </cell>
          <cell r="G82">
            <v>5.66</v>
          </cell>
          <cell r="H82">
            <v>85.78</v>
          </cell>
        </row>
        <row r="83">
          <cell r="C83" t="str">
            <v>Total Development Works- Grant</v>
          </cell>
          <cell r="D83">
            <v>9.870000000000001</v>
          </cell>
          <cell r="E83">
            <v>1.22</v>
          </cell>
          <cell r="F83">
            <v>30.549999999999997</v>
          </cell>
          <cell r="G83">
            <v>46.14</v>
          </cell>
          <cell r="H83">
            <v>99.72</v>
          </cell>
        </row>
        <row r="85">
          <cell r="B85" t="str">
            <v>III</v>
          </cell>
          <cell r="C85" t="str">
            <v>Other Capital Works</v>
          </cell>
        </row>
        <row r="86">
          <cell r="B86">
            <v>1</v>
          </cell>
          <cell r="C86" t="str">
            <v>Works Under taken through Loans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>
            <v>2</v>
          </cell>
          <cell r="C87" t="str">
            <v>Others Works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>
            <v>3</v>
          </cell>
          <cell r="C88" t="str">
            <v>Prime Minister Urban Grants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>
            <v>4</v>
          </cell>
          <cell r="C89" t="str">
            <v>Nehru Rojgar Yojana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>
            <v>5</v>
          </cell>
          <cell r="C90" t="str">
            <v>Town  Developemnt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>
            <v>6</v>
          </cell>
          <cell r="C91" t="str">
            <v>SFC Grants Works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7</v>
          </cell>
          <cell r="C92" t="str">
            <v>10th  Finance Commision Grants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8</v>
          </cell>
          <cell r="C93" t="str">
            <v>Purchase of Vehicles</v>
          </cell>
          <cell r="D93">
            <v>105.91999999999999</v>
          </cell>
          <cell r="E93">
            <v>113.55000000000001</v>
          </cell>
          <cell r="F93">
            <v>174.92</v>
          </cell>
          <cell r="G93">
            <v>108.44999999999999</v>
          </cell>
          <cell r="H93">
            <v>98.88</v>
          </cell>
        </row>
        <row r="94">
          <cell r="B94">
            <v>9</v>
          </cell>
          <cell r="C94" t="str">
            <v>Furniture</v>
          </cell>
          <cell r="D94">
            <v>5.42</v>
          </cell>
          <cell r="E94">
            <v>13.639999999999999</v>
          </cell>
          <cell r="F94">
            <v>6.92</v>
          </cell>
          <cell r="G94">
            <v>8.45</v>
          </cell>
          <cell r="H94">
            <v>3.38</v>
          </cell>
        </row>
        <row r="95">
          <cell r="B95">
            <v>10</v>
          </cell>
          <cell r="C95" t="str">
            <v>Office Equipment</v>
          </cell>
          <cell r="D95">
            <v>0.64</v>
          </cell>
          <cell r="E95">
            <v>2.67</v>
          </cell>
          <cell r="F95">
            <v>2.68</v>
          </cell>
          <cell r="G95">
            <v>3.66</v>
          </cell>
          <cell r="H95">
            <v>7.07</v>
          </cell>
        </row>
        <row r="96">
          <cell r="B96">
            <v>11</v>
          </cell>
          <cell r="C96" t="str">
            <v>Others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Total- Other Capital Works</v>
          </cell>
          <cell r="D97">
            <v>111.97999999999999</v>
          </cell>
          <cell r="E97">
            <v>129.86</v>
          </cell>
          <cell r="F97">
            <v>184.51999999999998</v>
          </cell>
          <cell r="G97">
            <v>120.55999999999999</v>
          </cell>
          <cell r="H97">
            <v>109.32999999999998</v>
          </cell>
        </row>
        <row r="99">
          <cell r="C99" t="str">
            <v>Total Capital Expenditure</v>
          </cell>
          <cell r="D99">
            <v>523.67</v>
          </cell>
          <cell r="E99">
            <v>945.0200000000001</v>
          </cell>
          <cell r="F99">
            <v>1323.7399999999998</v>
          </cell>
          <cell r="G99">
            <v>1314.71</v>
          </cell>
          <cell r="H99">
            <v>1568.1699999999998</v>
          </cell>
        </row>
        <row r="101">
          <cell r="B101" t="str">
            <v>IV</v>
          </cell>
          <cell r="C101" t="str">
            <v>Advances</v>
          </cell>
          <cell r="D101">
            <v>0</v>
          </cell>
          <cell r="E101">
            <v>0</v>
          </cell>
          <cell r="F101">
            <v>791.51</v>
          </cell>
          <cell r="G101">
            <v>764.78</v>
          </cell>
          <cell r="H101">
            <v>750.02</v>
          </cell>
        </row>
        <row r="103">
          <cell r="B103" t="str">
            <v>V</v>
          </cell>
          <cell r="C103" t="str">
            <v>Grand Total Expenditure (excl. adv.)</v>
          </cell>
          <cell r="D103">
            <v>2480.6</v>
          </cell>
          <cell r="E103">
            <v>3527.7900000000004</v>
          </cell>
          <cell r="F103">
            <v>4904.630000000001</v>
          </cell>
          <cell r="G103">
            <v>5039.4400000000005</v>
          </cell>
          <cell r="H103">
            <v>6134.92</v>
          </cell>
        </row>
        <row r="105">
          <cell r="C105" t="str">
            <v>Surplus/Deficit</v>
          </cell>
          <cell r="D105">
            <v>455.7999999999997</v>
          </cell>
          <cell r="E105">
            <v>820.8899999999999</v>
          </cell>
          <cell r="F105">
            <v>49.07999999999902</v>
          </cell>
          <cell r="G105">
            <v>469.27999999999975</v>
          </cell>
          <cell r="H105">
            <v>985.3099999999995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0- Contents"/>
      <sheetName val="1- Wardwise Demography"/>
      <sheetName val="2- Wardwise Literates"/>
      <sheetName val="3- Wardwise Workforce"/>
      <sheetName val="4- Kutchi Bastis under JDA"/>
      <sheetName val="5- Worker Classification"/>
      <sheetName val="6- Age, Sex &amp; Educ. class"/>
      <sheetName val="7- Migration Tables"/>
      <sheetName val="A- Landuse in Jaipur"/>
      <sheetName val="C- Workforce - IX Fold Class."/>
      <sheetName val="D- Meteorology"/>
      <sheetName val="E- Large &amp; Medium Industries"/>
      <sheetName val="F- Small &amp; Service Industries"/>
      <sheetName val="G- Tourist Inflow"/>
      <sheetName val="H- Popu. &amp; Land Assignments"/>
      <sheetName val="I- Literacy Trends"/>
      <sheetName val="J- Housing Stock"/>
      <sheetName val="K- Housing Supply"/>
      <sheetName val="L- Workforce Distribution"/>
      <sheetName val="M- Workforce Spatial Dist."/>
      <sheetName val="N- Ward Codes"/>
      <sheetName val="O- Ward Population Details"/>
    </sheetNames>
    <sheetDataSet>
      <sheetData sheetId="21">
        <row r="3">
          <cell r="B3" t="str">
            <v>CODE</v>
          </cell>
          <cell r="C3" t="str">
            <v>NAME</v>
          </cell>
          <cell r="D3" t="str">
            <v>H_NAME</v>
          </cell>
          <cell r="E3" t="str">
            <v>AREA</v>
          </cell>
        </row>
        <row r="4">
          <cell r="B4" t="str">
            <v>0900000000000000</v>
          </cell>
          <cell r="C4" t="str">
            <v>JAIPUR</v>
          </cell>
          <cell r="D4" t="str">
            <v>Ö¼º_«</v>
          </cell>
          <cell r="E4">
            <v>0</v>
          </cell>
        </row>
        <row r="5">
          <cell r="B5" t="str">
            <v>0910001000000000</v>
          </cell>
          <cell r="C5" t="str">
            <v>KOTPUTLI   M</v>
          </cell>
          <cell r="D5" t="str">
            <v>Æ÷£º_íß_ Ñ.º_.</v>
          </cell>
          <cell r="E5">
            <v>20</v>
          </cell>
        </row>
        <row r="6">
          <cell r="B6" t="str">
            <v>0910001000000001</v>
          </cell>
          <cell r="C6" t="str">
            <v>WARD NO.   1</v>
          </cell>
          <cell r="D6" t="str">
            <v>__«•P Ñü. 1</v>
          </cell>
          <cell r="E6">
            <v>0</v>
          </cell>
        </row>
        <row r="7">
          <cell r="B7" t="str">
            <v>0910001000000002</v>
          </cell>
          <cell r="C7" t="str">
            <v>WARD NO.   2</v>
          </cell>
          <cell r="D7" t="str">
            <v>__«•P Ñü. 2</v>
          </cell>
          <cell r="E7">
            <v>0</v>
          </cell>
        </row>
        <row r="8">
          <cell r="B8" t="str">
            <v>0910001000000003</v>
          </cell>
          <cell r="C8" t="str">
            <v>WARD NO.   3</v>
          </cell>
          <cell r="D8" t="str">
            <v>__«•P Ñü. 3</v>
          </cell>
          <cell r="E8">
            <v>0</v>
          </cell>
        </row>
        <row r="9">
          <cell r="B9" t="str">
            <v>0910001000000004</v>
          </cell>
          <cell r="C9" t="str">
            <v>WARD NO.   4</v>
          </cell>
          <cell r="D9" t="str">
            <v>__«•P Ñü. 4</v>
          </cell>
          <cell r="E9">
            <v>0</v>
          </cell>
        </row>
        <row r="10">
          <cell r="B10" t="str">
            <v>0910001000000005</v>
          </cell>
          <cell r="C10" t="str">
            <v>WARD NO.   5</v>
          </cell>
          <cell r="D10" t="str">
            <v>__«•P Ñü. 5</v>
          </cell>
          <cell r="E10">
            <v>0</v>
          </cell>
        </row>
        <row r="11">
          <cell r="B11" t="str">
            <v>0910001000000006</v>
          </cell>
          <cell r="C11" t="str">
            <v>WARD NO.   6</v>
          </cell>
          <cell r="D11" t="str">
            <v>__«•P Ñü. 6</v>
          </cell>
          <cell r="E11">
            <v>0</v>
          </cell>
        </row>
        <row r="12">
          <cell r="B12" t="str">
            <v>0910001000000007</v>
          </cell>
          <cell r="C12" t="str">
            <v>WARD NO.   7</v>
          </cell>
          <cell r="D12" t="str">
            <v>__«•P Ñü. 7</v>
          </cell>
          <cell r="E12">
            <v>0</v>
          </cell>
        </row>
        <row r="13">
          <cell r="B13" t="str">
            <v>0910001000000008</v>
          </cell>
          <cell r="C13" t="str">
            <v>WARD NO.   8</v>
          </cell>
          <cell r="D13" t="str">
            <v>__«•P Ñü. 8</v>
          </cell>
          <cell r="E13">
            <v>0</v>
          </cell>
        </row>
        <row r="14">
          <cell r="B14" t="str">
            <v>0910001000000009</v>
          </cell>
          <cell r="C14" t="str">
            <v>WARD NO.   9</v>
          </cell>
          <cell r="D14" t="str">
            <v>__«•P Ñü. 9</v>
          </cell>
          <cell r="E14">
            <v>0</v>
          </cell>
        </row>
        <row r="15">
          <cell r="B15" t="str">
            <v>0910001000000010</v>
          </cell>
          <cell r="C15" t="str">
            <v>WARD NO.   10</v>
          </cell>
          <cell r="D15" t="str">
            <v>__«•P Ñü. 10</v>
          </cell>
          <cell r="E15">
            <v>0</v>
          </cell>
        </row>
        <row r="16">
          <cell r="B16" t="str">
            <v>0910001000000011</v>
          </cell>
          <cell r="C16" t="str">
            <v>WARD NO.   11</v>
          </cell>
          <cell r="D16" t="str">
            <v>__«•P Ñü. 11</v>
          </cell>
          <cell r="E16">
            <v>0</v>
          </cell>
        </row>
        <row r="17">
          <cell r="B17" t="str">
            <v>0910001000000012</v>
          </cell>
          <cell r="C17" t="str">
            <v>WARD NO.   12</v>
          </cell>
          <cell r="D17" t="str">
            <v>__«•P Ñü. 12</v>
          </cell>
          <cell r="E17">
            <v>0</v>
          </cell>
        </row>
        <row r="18">
          <cell r="B18" t="str">
            <v>0910001000000013</v>
          </cell>
          <cell r="C18" t="str">
            <v>WARD NO.   13</v>
          </cell>
          <cell r="D18" t="str">
            <v>__«•P Ñü. 13</v>
          </cell>
          <cell r="E18">
            <v>0</v>
          </cell>
        </row>
        <row r="19">
          <cell r="B19" t="str">
            <v>0910001000000014</v>
          </cell>
          <cell r="C19" t="str">
            <v>WARD NO.   14</v>
          </cell>
          <cell r="D19" t="str">
            <v>__«•P Ñü. 14</v>
          </cell>
          <cell r="E19">
            <v>0</v>
          </cell>
        </row>
        <row r="20">
          <cell r="B20" t="str">
            <v>0910001000000015</v>
          </cell>
          <cell r="C20" t="str">
            <v>WARD NO.   15</v>
          </cell>
          <cell r="D20" t="str">
            <v>__«•P Ñü. 15</v>
          </cell>
          <cell r="E20">
            <v>0</v>
          </cell>
        </row>
        <row r="21">
          <cell r="B21" t="str">
            <v>0910001000000016</v>
          </cell>
          <cell r="C21" t="str">
            <v>WARD NO.   16</v>
          </cell>
          <cell r="D21" t="str">
            <v>__«•P Ñü. 16</v>
          </cell>
          <cell r="E21">
            <v>0</v>
          </cell>
        </row>
        <row r="22">
          <cell r="B22" t="str">
            <v>0910001000000017</v>
          </cell>
          <cell r="C22" t="str">
            <v>WARD NO.   17</v>
          </cell>
          <cell r="D22" t="str">
            <v>__«•P Ñü. 17</v>
          </cell>
          <cell r="E22">
            <v>0</v>
          </cell>
        </row>
        <row r="23">
          <cell r="B23" t="str">
            <v>0910001000000018</v>
          </cell>
          <cell r="C23" t="str">
            <v>WARD NO.   18</v>
          </cell>
          <cell r="D23" t="str">
            <v>__«•P Ñü. 18</v>
          </cell>
          <cell r="E23">
            <v>0</v>
          </cell>
        </row>
        <row r="24">
          <cell r="B24" t="str">
            <v>0910001000000019</v>
          </cell>
          <cell r="C24" t="str">
            <v>WARD NO.   19</v>
          </cell>
          <cell r="D24" t="str">
            <v>__«•P Ñü. 19</v>
          </cell>
          <cell r="E24">
            <v>0</v>
          </cell>
        </row>
        <row r="25">
          <cell r="B25" t="str">
            <v>0910101010000000</v>
          </cell>
          <cell r="C25" t="str">
            <v>VIRATNAGAR   M</v>
          </cell>
          <cell r="D25" t="str">
            <v>__«_£Ñö« Ñ.º_.</v>
          </cell>
          <cell r="E25">
            <v>31.07</v>
          </cell>
        </row>
        <row r="26">
          <cell r="B26" t="str">
            <v>0910101010000001</v>
          </cell>
          <cell r="C26" t="str">
            <v>WARD NO.   1</v>
          </cell>
          <cell r="D26" t="str">
            <v>__«•P Ñü. 1</v>
          </cell>
          <cell r="E26">
            <v>0</v>
          </cell>
        </row>
        <row r="27">
          <cell r="B27" t="str">
            <v>0910101010000002</v>
          </cell>
          <cell r="C27" t="str">
            <v>WARD NO.   2</v>
          </cell>
          <cell r="D27" t="str">
            <v>__«•P Ñü. 2</v>
          </cell>
          <cell r="E27">
            <v>0</v>
          </cell>
        </row>
        <row r="28">
          <cell r="B28" t="str">
            <v>0910101010000003</v>
          </cell>
          <cell r="C28" t="str">
            <v>WARD NO.   3</v>
          </cell>
          <cell r="D28" t="str">
            <v>__«•P Ñü. 3</v>
          </cell>
          <cell r="E28">
            <v>0</v>
          </cell>
        </row>
        <row r="29">
          <cell r="B29" t="str">
            <v>0910101010000004</v>
          </cell>
          <cell r="C29" t="str">
            <v>WARD NO.   4</v>
          </cell>
          <cell r="D29" t="str">
            <v>__«•P Ñü. 4</v>
          </cell>
          <cell r="E29">
            <v>0</v>
          </cell>
        </row>
        <row r="30">
          <cell r="B30" t="str">
            <v>0910101010000005</v>
          </cell>
          <cell r="C30" t="str">
            <v>WARD NO.   5</v>
          </cell>
          <cell r="D30" t="str">
            <v>__«•P Ñü. 5</v>
          </cell>
          <cell r="E30">
            <v>0</v>
          </cell>
        </row>
        <row r="31">
          <cell r="B31" t="str">
            <v>0910101010000006</v>
          </cell>
          <cell r="C31" t="str">
            <v>WARD NO.   6</v>
          </cell>
          <cell r="D31" t="str">
            <v>__«•P Ñü. 6</v>
          </cell>
          <cell r="E31">
            <v>0</v>
          </cell>
        </row>
        <row r="32">
          <cell r="B32" t="str">
            <v>0910101010000007</v>
          </cell>
          <cell r="C32" t="str">
            <v>WARD NO.   7</v>
          </cell>
          <cell r="D32" t="str">
            <v>__«•P Ñü. 7</v>
          </cell>
          <cell r="E32">
            <v>0</v>
          </cell>
        </row>
        <row r="33">
          <cell r="B33" t="str">
            <v>0910101010000008</v>
          </cell>
          <cell r="C33" t="str">
            <v>WARD NO.   8</v>
          </cell>
          <cell r="D33" t="str">
            <v>__«•P Ñü. 8</v>
          </cell>
          <cell r="E33">
            <v>0</v>
          </cell>
        </row>
        <row r="34">
          <cell r="B34" t="str">
            <v>0910101010000009</v>
          </cell>
          <cell r="C34" t="str">
            <v>WARD NO.   9</v>
          </cell>
          <cell r="D34" t="str">
            <v>__«•P Ñü. 9</v>
          </cell>
          <cell r="E34">
            <v>0</v>
          </cell>
        </row>
        <row r="35">
          <cell r="B35" t="str">
            <v>0910101010000010</v>
          </cell>
          <cell r="C35" t="str">
            <v>WARD NO.   10</v>
          </cell>
          <cell r="D35" t="str">
            <v>__«•P Ñü. 10</v>
          </cell>
          <cell r="E35">
            <v>0</v>
          </cell>
        </row>
        <row r="36">
          <cell r="B36" t="str">
            <v>0910201020000000</v>
          </cell>
          <cell r="C36" t="str">
            <v>SHAHPURA   M</v>
          </cell>
          <cell r="D36" t="str">
            <v>___º_«_ Ñ.º_.</v>
          </cell>
          <cell r="E36">
            <v>10</v>
          </cell>
        </row>
        <row r="37">
          <cell r="B37" t="str">
            <v>0910201020000001</v>
          </cell>
          <cell r="C37" t="str">
            <v>WARD NO.   1</v>
          </cell>
          <cell r="D37" t="str">
            <v>__«•P Ñü. 1</v>
          </cell>
          <cell r="E37">
            <v>0</v>
          </cell>
        </row>
        <row r="38">
          <cell r="B38" t="str">
            <v>0910201020000002</v>
          </cell>
          <cell r="C38" t="str">
            <v>WARD NO.   2</v>
          </cell>
          <cell r="D38" t="str">
            <v>__«•P Ñü. 2</v>
          </cell>
          <cell r="E38">
            <v>0</v>
          </cell>
        </row>
        <row r="39">
          <cell r="B39" t="str">
            <v>0910201020000003</v>
          </cell>
          <cell r="C39" t="str">
            <v>WARD NO.   3</v>
          </cell>
          <cell r="D39" t="str">
            <v>__«•P Ñü. 3</v>
          </cell>
          <cell r="E39">
            <v>0</v>
          </cell>
        </row>
        <row r="40">
          <cell r="B40" t="str">
            <v>0910201020000004</v>
          </cell>
          <cell r="C40" t="str">
            <v>WARD NO.   4</v>
          </cell>
          <cell r="D40" t="str">
            <v>__«•P Ñü. 4</v>
          </cell>
          <cell r="E40">
            <v>0</v>
          </cell>
        </row>
        <row r="41">
          <cell r="B41" t="str">
            <v>0910201020000005</v>
          </cell>
          <cell r="C41" t="str">
            <v>WARD NO.   5</v>
          </cell>
          <cell r="D41" t="str">
            <v>__«•P Ñü. 5</v>
          </cell>
          <cell r="E41">
            <v>0</v>
          </cell>
        </row>
        <row r="42">
          <cell r="B42" t="str">
            <v>0910201020000006</v>
          </cell>
          <cell r="C42" t="str">
            <v>WARD NO.   6</v>
          </cell>
          <cell r="D42" t="str">
            <v>__«•P Ñü. 6</v>
          </cell>
          <cell r="E42">
            <v>0</v>
          </cell>
        </row>
        <row r="43">
          <cell r="B43" t="str">
            <v>0910201020000007</v>
          </cell>
          <cell r="C43" t="str">
            <v>WARD NO.   7</v>
          </cell>
          <cell r="D43" t="str">
            <v>__«•P Ñü. 7</v>
          </cell>
          <cell r="E43">
            <v>0</v>
          </cell>
        </row>
        <row r="44">
          <cell r="B44" t="str">
            <v>0910201020000008</v>
          </cell>
          <cell r="C44" t="str">
            <v>WARD NO.   8</v>
          </cell>
          <cell r="D44" t="str">
            <v>__«•P Ñü. 8</v>
          </cell>
          <cell r="E44">
            <v>0</v>
          </cell>
        </row>
        <row r="45">
          <cell r="B45" t="str">
            <v>0910201020000009</v>
          </cell>
          <cell r="C45" t="str">
            <v>WARD NO.   9</v>
          </cell>
          <cell r="D45" t="str">
            <v>__«•P Ñü. 9</v>
          </cell>
          <cell r="E45">
            <v>0</v>
          </cell>
        </row>
        <row r="46">
          <cell r="B46" t="str">
            <v>0910201020000010</v>
          </cell>
          <cell r="C46" t="str">
            <v>WARD NO.   10</v>
          </cell>
          <cell r="D46" t="str">
            <v>__«•P Ñü. 10</v>
          </cell>
          <cell r="E46">
            <v>0</v>
          </cell>
        </row>
        <row r="47">
          <cell r="B47" t="str">
            <v>0910201020000011</v>
          </cell>
          <cell r="C47" t="str">
            <v>WARD NO.   11</v>
          </cell>
          <cell r="D47" t="str">
            <v>__«•P Ñü. 11</v>
          </cell>
          <cell r="E47">
            <v>0</v>
          </cell>
        </row>
        <row r="48">
          <cell r="B48" t="str">
            <v>0910201020000012</v>
          </cell>
          <cell r="C48" t="str">
            <v>WARD NO.   12</v>
          </cell>
          <cell r="D48" t="str">
            <v>__«•P Ñü. 12</v>
          </cell>
          <cell r="E48">
            <v>0</v>
          </cell>
        </row>
        <row r="49">
          <cell r="B49" t="str">
            <v>0910201020000013</v>
          </cell>
          <cell r="C49" t="str">
            <v>WARD NO.   13</v>
          </cell>
          <cell r="D49" t="str">
            <v>__«•P Ñü. 13</v>
          </cell>
          <cell r="E49">
            <v>0</v>
          </cell>
        </row>
        <row r="50">
          <cell r="B50" t="str">
            <v>0910301030000000</v>
          </cell>
          <cell r="C50" t="str">
            <v>MANOHARPUR   M</v>
          </cell>
          <cell r="D50" t="str">
            <v>½Ñ÷_«º_« Ñ.º_.</v>
          </cell>
          <cell r="E50">
            <v>4.37</v>
          </cell>
        </row>
        <row r="51">
          <cell r="B51" t="str">
            <v>0910301030000001</v>
          </cell>
          <cell r="C51" t="str">
            <v>WARD NO.   1</v>
          </cell>
          <cell r="D51" t="str">
            <v>__«•P Ñü. 1</v>
          </cell>
          <cell r="E51">
            <v>0</v>
          </cell>
        </row>
        <row r="52">
          <cell r="B52" t="str">
            <v>0910301030000002</v>
          </cell>
          <cell r="C52" t="str">
            <v>WARD NO.   2</v>
          </cell>
          <cell r="D52" t="str">
            <v>__«•P Ñü. 2</v>
          </cell>
          <cell r="E52">
            <v>0</v>
          </cell>
        </row>
        <row r="53">
          <cell r="B53" t="str">
            <v>0910301030000003</v>
          </cell>
          <cell r="C53" t="str">
            <v>WARD NO.   3</v>
          </cell>
          <cell r="D53" t="str">
            <v>__«•P Ñü. 3</v>
          </cell>
          <cell r="E53">
            <v>0</v>
          </cell>
        </row>
        <row r="54">
          <cell r="B54" t="str">
            <v>0910301030000004</v>
          </cell>
          <cell r="C54" t="str">
            <v>WARD NO.   4</v>
          </cell>
          <cell r="D54" t="str">
            <v>__«•P Ñü. 4</v>
          </cell>
          <cell r="E54">
            <v>0</v>
          </cell>
        </row>
        <row r="55">
          <cell r="B55" t="str">
            <v>0910301030000005</v>
          </cell>
          <cell r="C55" t="str">
            <v>WARD NO.   5</v>
          </cell>
          <cell r="D55" t="str">
            <v>__«•P Ñü. 5</v>
          </cell>
          <cell r="E55">
            <v>0</v>
          </cell>
        </row>
        <row r="56">
          <cell r="B56" t="str">
            <v>0910301030000006</v>
          </cell>
          <cell r="C56" t="str">
            <v>WARD NO.   6</v>
          </cell>
          <cell r="D56" t="str">
            <v>__«•P Ñü. 6</v>
          </cell>
          <cell r="E56">
            <v>0</v>
          </cell>
        </row>
        <row r="57">
          <cell r="B57" t="str">
            <v>0910301030000007</v>
          </cell>
          <cell r="C57" t="str">
            <v>WARD NO.   7</v>
          </cell>
          <cell r="D57" t="str">
            <v>__«•P Ñü. 7</v>
          </cell>
          <cell r="E57">
            <v>0</v>
          </cell>
        </row>
        <row r="58">
          <cell r="B58" t="str">
            <v>0910301030000008</v>
          </cell>
          <cell r="C58" t="str">
            <v>WARD NO.   8</v>
          </cell>
          <cell r="D58" t="str">
            <v>__«•P Ñü. 8</v>
          </cell>
          <cell r="E58">
            <v>0</v>
          </cell>
        </row>
        <row r="59">
          <cell r="B59" t="str">
            <v>0910301030000009</v>
          </cell>
          <cell r="C59" t="str">
            <v>WARD NO.   9</v>
          </cell>
          <cell r="D59" t="str">
            <v>__«•P Ñü. 9</v>
          </cell>
          <cell r="E59">
            <v>0</v>
          </cell>
        </row>
        <row r="60">
          <cell r="B60" t="str">
            <v>0910301030000010</v>
          </cell>
          <cell r="C60" t="str">
            <v>WARD NO.   10</v>
          </cell>
          <cell r="D60" t="str">
            <v>__«•P Ñü. 10</v>
          </cell>
          <cell r="E60">
            <v>0</v>
          </cell>
        </row>
        <row r="61">
          <cell r="B61" t="str">
            <v>0910301030000011</v>
          </cell>
          <cell r="C61" t="str">
            <v>WARD NO.   11</v>
          </cell>
          <cell r="D61" t="str">
            <v>__«•P Ñü. 11</v>
          </cell>
          <cell r="E61">
            <v>0</v>
          </cell>
        </row>
        <row r="62">
          <cell r="B62" t="str">
            <v>0910301030000012</v>
          </cell>
          <cell r="C62" t="str">
            <v>WARD NO.   12</v>
          </cell>
          <cell r="D62" t="str">
            <v>__«•P Ñü. 12</v>
          </cell>
          <cell r="E62">
            <v>0</v>
          </cell>
        </row>
        <row r="63">
          <cell r="B63" t="str">
            <v>0910301030000013</v>
          </cell>
          <cell r="C63" t="str">
            <v>WARD NO.   13</v>
          </cell>
          <cell r="D63" t="str">
            <v>__«•P Ñü. 13</v>
          </cell>
          <cell r="E63">
            <v>0</v>
          </cell>
        </row>
        <row r="64">
          <cell r="B64" t="str">
            <v>0910401040000000</v>
          </cell>
          <cell r="C64" t="str">
            <v>CHOMU   M</v>
          </cell>
          <cell r="D64" t="str">
            <v>ù_½_ Ñ.º_.</v>
          </cell>
          <cell r="E64">
            <v>22.53</v>
          </cell>
        </row>
        <row r="65">
          <cell r="B65" t="str">
            <v>0910401040000001</v>
          </cell>
          <cell r="C65" t="str">
            <v>WARD NO.   1</v>
          </cell>
          <cell r="D65" t="str">
            <v>__«•P Ñü. 1</v>
          </cell>
          <cell r="E65">
            <v>0</v>
          </cell>
        </row>
        <row r="66">
          <cell r="B66" t="str">
            <v>0910401040000002</v>
          </cell>
          <cell r="C66" t="str">
            <v>WARD NO.   2</v>
          </cell>
          <cell r="D66" t="str">
            <v>__«•P Ñü. 2</v>
          </cell>
          <cell r="E66">
            <v>0</v>
          </cell>
        </row>
        <row r="67">
          <cell r="B67" t="str">
            <v>0910401040000003</v>
          </cell>
          <cell r="C67" t="str">
            <v>WARD NO.   3</v>
          </cell>
          <cell r="D67" t="str">
            <v>__«•P Ñü. 3</v>
          </cell>
          <cell r="E67">
            <v>0</v>
          </cell>
        </row>
        <row r="68">
          <cell r="B68" t="str">
            <v>0910401040000004</v>
          </cell>
          <cell r="C68" t="str">
            <v>WARD NO.   4</v>
          </cell>
          <cell r="D68" t="str">
            <v>__«•P Ñü. 4</v>
          </cell>
          <cell r="E68">
            <v>0</v>
          </cell>
        </row>
        <row r="69">
          <cell r="B69" t="str">
            <v>0910401040000005</v>
          </cell>
          <cell r="C69" t="str">
            <v>WARD NO.   5</v>
          </cell>
          <cell r="D69" t="str">
            <v>__«•P Ñü. 5</v>
          </cell>
          <cell r="E69">
            <v>0</v>
          </cell>
        </row>
        <row r="70">
          <cell r="B70" t="str">
            <v>0910401040000006</v>
          </cell>
          <cell r="C70" t="str">
            <v>WARD NO.   6</v>
          </cell>
          <cell r="D70" t="str">
            <v>__«•P Ñü. 6</v>
          </cell>
          <cell r="E70">
            <v>0</v>
          </cell>
        </row>
        <row r="71">
          <cell r="B71" t="str">
            <v>0910401040000007</v>
          </cell>
          <cell r="C71" t="str">
            <v>WARD NO.   7</v>
          </cell>
          <cell r="D71" t="str">
            <v>__«•P Ñü. 7</v>
          </cell>
          <cell r="E71">
            <v>0</v>
          </cell>
        </row>
        <row r="72">
          <cell r="B72" t="str">
            <v>0910401040000008</v>
          </cell>
          <cell r="C72" t="str">
            <v>WARD NO.   8</v>
          </cell>
          <cell r="D72" t="str">
            <v>__«•P Ñü. 8</v>
          </cell>
          <cell r="E72">
            <v>0</v>
          </cell>
        </row>
        <row r="73">
          <cell r="B73" t="str">
            <v>0910401040000009</v>
          </cell>
          <cell r="C73" t="str">
            <v>WARD NO.   9</v>
          </cell>
          <cell r="D73" t="str">
            <v>__«•P Ñü. 9</v>
          </cell>
          <cell r="E73">
            <v>0</v>
          </cell>
        </row>
        <row r="74">
          <cell r="B74" t="str">
            <v>0910401040000010</v>
          </cell>
          <cell r="C74" t="str">
            <v>WARD NO.   10</v>
          </cell>
          <cell r="D74" t="str">
            <v>__«•P Ñü. 10</v>
          </cell>
          <cell r="E74">
            <v>0</v>
          </cell>
        </row>
        <row r="75">
          <cell r="B75" t="str">
            <v>0910401040000011</v>
          </cell>
          <cell r="C75" t="str">
            <v>WARD NO.   11</v>
          </cell>
          <cell r="D75" t="str">
            <v>__«•P Ñü. 11</v>
          </cell>
          <cell r="E75">
            <v>0</v>
          </cell>
        </row>
        <row r="76">
          <cell r="B76" t="str">
            <v>0910401040000012</v>
          </cell>
          <cell r="C76" t="str">
            <v>WARD NO.   12</v>
          </cell>
          <cell r="D76" t="str">
            <v>__«•P Ñü. 12</v>
          </cell>
          <cell r="E76">
            <v>0</v>
          </cell>
        </row>
        <row r="77">
          <cell r="B77" t="str">
            <v>0910401040000013</v>
          </cell>
          <cell r="C77" t="str">
            <v>WARD NO.   13</v>
          </cell>
          <cell r="D77" t="str">
            <v>__«•P Ñü. 13</v>
          </cell>
          <cell r="E77">
            <v>0</v>
          </cell>
        </row>
        <row r="78">
          <cell r="B78" t="str">
            <v>0910401040000014</v>
          </cell>
          <cell r="C78" t="str">
            <v>WARD NO.   14</v>
          </cell>
          <cell r="D78" t="str">
            <v>__«•P Ñü. 14</v>
          </cell>
          <cell r="E78">
            <v>0</v>
          </cell>
        </row>
        <row r="79">
          <cell r="B79" t="str">
            <v>0910401040000015</v>
          </cell>
          <cell r="C79" t="str">
            <v>WARD NO.   15</v>
          </cell>
          <cell r="D79" t="str">
            <v>__«•P Ñü. 15</v>
          </cell>
          <cell r="E79">
            <v>0</v>
          </cell>
        </row>
        <row r="80">
          <cell r="B80" t="str">
            <v>0910401040000016</v>
          </cell>
          <cell r="C80" t="str">
            <v>WARD NO.   16</v>
          </cell>
          <cell r="D80" t="str">
            <v>__«•P Ñü. 16</v>
          </cell>
          <cell r="E80">
            <v>0</v>
          </cell>
        </row>
        <row r="81">
          <cell r="B81" t="str">
            <v>0910401040000017</v>
          </cell>
          <cell r="C81" t="str">
            <v>WARD NO.   17</v>
          </cell>
          <cell r="D81" t="str">
            <v>__«•P Ñü. 17</v>
          </cell>
          <cell r="E81">
            <v>0</v>
          </cell>
        </row>
        <row r="82">
          <cell r="B82" t="str">
            <v>0910401040000018</v>
          </cell>
          <cell r="C82" t="str">
            <v>WARD NO.   18</v>
          </cell>
          <cell r="D82" t="str">
            <v>__«•P Ñü. 18</v>
          </cell>
          <cell r="E82">
            <v>0</v>
          </cell>
        </row>
        <row r="83">
          <cell r="B83" t="str">
            <v>0910401040000019</v>
          </cell>
          <cell r="C83" t="str">
            <v>WARD NO.   19</v>
          </cell>
          <cell r="D83" t="str">
            <v>__«•P Ñü. 19</v>
          </cell>
          <cell r="E83">
            <v>0</v>
          </cell>
        </row>
        <row r="84">
          <cell r="B84" t="str">
            <v>0910401040000020</v>
          </cell>
          <cell r="C84" t="str">
            <v>WARD NO.   20</v>
          </cell>
          <cell r="D84" t="str">
            <v>__«•P Ñü. 20</v>
          </cell>
          <cell r="E84">
            <v>0</v>
          </cell>
        </row>
        <row r="85">
          <cell r="B85" t="str">
            <v>0910401040000021</v>
          </cell>
          <cell r="C85" t="str">
            <v>WARD NO.   21</v>
          </cell>
          <cell r="D85" t="str">
            <v>__«•P Ñü. 21</v>
          </cell>
          <cell r="E85">
            <v>0</v>
          </cell>
        </row>
        <row r="86">
          <cell r="B86" t="str">
            <v>0910501050000000</v>
          </cell>
          <cell r="C86" t="str">
            <v>KISHANGARH RENWAL*   M</v>
          </cell>
          <cell r="D86" t="str">
            <v>Æ__Ñöƒ· «_Ñ__ß Ñ.º_.</v>
          </cell>
          <cell r="E86">
            <v>39.27</v>
          </cell>
        </row>
        <row r="87">
          <cell r="B87" t="str">
            <v>0910501050000001</v>
          </cell>
          <cell r="C87" t="str">
            <v>WARD NO.   1</v>
          </cell>
          <cell r="D87" t="str">
            <v>__«•P Ñü. 1</v>
          </cell>
          <cell r="E87">
            <v>0</v>
          </cell>
        </row>
        <row r="88">
          <cell r="B88" t="str">
            <v>0910501050000002</v>
          </cell>
          <cell r="C88" t="str">
            <v>WARD NO.   2</v>
          </cell>
          <cell r="D88" t="str">
            <v>__«•P Ñü. 2</v>
          </cell>
          <cell r="E88">
            <v>0</v>
          </cell>
        </row>
        <row r="89">
          <cell r="B89" t="str">
            <v>0910501050000003</v>
          </cell>
          <cell r="C89" t="str">
            <v>WARD NO.   3</v>
          </cell>
          <cell r="D89" t="str">
            <v>__«•P Ñü. 3</v>
          </cell>
          <cell r="E89">
            <v>0</v>
          </cell>
        </row>
        <row r="90">
          <cell r="B90" t="str">
            <v>0910501050000004</v>
          </cell>
          <cell r="C90" t="str">
            <v>WARD NO.   4</v>
          </cell>
          <cell r="D90" t="str">
            <v>__«•P Ñü. 4</v>
          </cell>
          <cell r="E90">
            <v>0</v>
          </cell>
        </row>
        <row r="91">
          <cell r="B91" t="str">
            <v>0910501050000005</v>
          </cell>
          <cell r="C91" t="str">
            <v>WARD NO.   5</v>
          </cell>
          <cell r="D91" t="str">
            <v>__«•P Ñü. 5</v>
          </cell>
          <cell r="E91">
            <v>0</v>
          </cell>
        </row>
        <row r="92">
          <cell r="B92" t="str">
            <v>0910501050000006</v>
          </cell>
          <cell r="C92" t="str">
            <v>WARD NO.   6</v>
          </cell>
          <cell r="D92" t="str">
            <v>__«•P Ñü. 6</v>
          </cell>
          <cell r="E92">
            <v>0</v>
          </cell>
        </row>
        <row r="93">
          <cell r="B93" t="str">
            <v>0910501050000007</v>
          </cell>
          <cell r="C93" t="str">
            <v>WARD NO.   7</v>
          </cell>
          <cell r="D93" t="str">
            <v>__«•P Ñü. 7</v>
          </cell>
          <cell r="E93">
            <v>0</v>
          </cell>
        </row>
        <row r="94">
          <cell r="B94" t="str">
            <v>0910501050000008</v>
          </cell>
          <cell r="C94" t="str">
            <v>WARD NO.   8</v>
          </cell>
          <cell r="D94" t="str">
            <v>__«•P Ñü. 8</v>
          </cell>
          <cell r="E94">
            <v>0</v>
          </cell>
        </row>
        <row r="95">
          <cell r="B95" t="str">
            <v>0910501050000009</v>
          </cell>
          <cell r="C95" t="str">
            <v>WARD NO.   9</v>
          </cell>
          <cell r="D95" t="str">
            <v>__«•P Ñü. 9</v>
          </cell>
          <cell r="E95">
            <v>0</v>
          </cell>
        </row>
        <row r="96">
          <cell r="B96" t="str">
            <v>0910501050000010</v>
          </cell>
          <cell r="C96" t="str">
            <v>WARD NO.   10</v>
          </cell>
          <cell r="D96" t="str">
            <v>__«•P Ñü. 10</v>
          </cell>
          <cell r="E96">
            <v>0</v>
          </cell>
        </row>
        <row r="97">
          <cell r="B97" t="str">
            <v>0910501050000011</v>
          </cell>
          <cell r="C97" t="str">
            <v>WARD NO.   11</v>
          </cell>
          <cell r="D97" t="str">
            <v>__«•P Ñü. 11</v>
          </cell>
          <cell r="E97">
            <v>0</v>
          </cell>
        </row>
        <row r="98">
          <cell r="B98" t="str">
            <v>0910501050000012</v>
          </cell>
          <cell r="C98" t="str">
            <v>WARD NO.   12</v>
          </cell>
          <cell r="D98" t="str">
            <v>__«•P Ñü. 12</v>
          </cell>
          <cell r="E98">
            <v>0</v>
          </cell>
        </row>
        <row r="99">
          <cell r="B99" t="str">
            <v>0910501050000013</v>
          </cell>
          <cell r="C99" t="str">
            <v>WARD NO.   13</v>
          </cell>
          <cell r="D99" t="str">
            <v>__«•P Ñü. 13</v>
          </cell>
          <cell r="E99">
            <v>0</v>
          </cell>
        </row>
        <row r="100">
          <cell r="B100" t="str">
            <v>0910501050000014</v>
          </cell>
          <cell r="C100" t="str">
            <v>WARD NO.   14</v>
          </cell>
          <cell r="D100" t="str">
            <v>__«•P Ñü. 14</v>
          </cell>
          <cell r="E100">
            <v>0</v>
          </cell>
        </row>
        <row r="101">
          <cell r="B101" t="str">
            <v>0910501050000015</v>
          </cell>
          <cell r="C101" t="str">
            <v>WARD NO.   15</v>
          </cell>
          <cell r="D101" t="str">
            <v>__«•P Ñü. 15</v>
          </cell>
          <cell r="E101">
            <v>0</v>
          </cell>
        </row>
        <row r="102">
          <cell r="B102" t="str">
            <v>0910501050000016</v>
          </cell>
          <cell r="C102" t="str">
            <v>WARD NO.   16</v>
          </cell>
          <cell r="D102" t="str">
            <v>__«•P Ñü. 16</v>
          </cell>
          <cell r="E102">
            <v>0</v>
          </cell>
        </row>
        <row r="103">
          <cell r="B103" t="str">
            <v>0910601060000000</v>
          </cell>
          <cell r="C103" t="str">
            <v>JOBNER   M</v>
          </cell>
          <cell r="D103" t="str">
            <v>Ö÷_Ñ_« Ñ.º_.</v>
          </cell>
          <cell r="E103">
            <v>10</v>
          </cell>
        </row>
        <row r="104">
          <cell r="B104" t="str">
            <v>0910601060000001</v>
          </cell>
          <cell r="C104" t="str">
            <v>WARD NO.   1</v>
          </cell>
          <cell r="D104" t="str">
            <v>__«•P Ñü. 1</v>
          </cell>
          <cell r="E104">
            <v>0</v>
          </cell>
        </row>
        <row r="105">
          <cell r="B105" t="str">
            <v>0910601060000002</v>
          </cell>
          <cell r="C105" t="str">
            <v>WARD NO.   2</v>
          </cell>
          <cell r="D105" t="str">
            <v>__«•P Ñü. 2</v>
          </cell>
          <cell r="E105">
            <v>0</v>
          </cell>
        </row>
        <row r="106">
          <cell r="B106" t="str">
            <v>0910601060000003</v>
          </cell>
          <cell r="C106" t="str">
            <v>WARD NO.   3</v>
          </cell>
          <cell r="D106" t="str">
            <v>__«•P Ñü. 3</v>
          </cell>
          <cell r="E106">
            <v>0</v>
          </cell>
        </row>
        <row r="107">
          <cell r="B107" t="str">
            <v>0910601060000004</v>
          </cell>
          <cell r="C107" t="str">
            <v>WARD NO.   4</v>
          </cell>
          <cell r="D107" t="str">
            <v>__«•P Ñü. 4</v>
          </cell>
          <cell r="E107">
            <v>0</v>
          </cell>
        </row>
        <row r="108">
          <cell r="B108" t="str">
            <v>0910601060000005</v>
          </cell>
          <cell r="C108" t="str">
            <v>WARD NO.   5</v>
          </cell>
          <cell r="D108" t="str">
            <v>__«•P Ñü. 5</v>
          </cell>
          <cell r="E108">
            <v>0</v>
          </cell>
        </row>
        <row r="109">
          <cell r="B109" t="str">
            <v>0910601060000006</v>
          </cell>
          <cell r="C109" t="str">
            <v>WARD NO.   6</v>
          </cell>
          <cell r="D109" t="str">
            <v>__«•P Ñü. 6</v>
          </cell>
          <cell r="E109">
            <v>0</v>
          </cell>
        </row>
        <row r="110">
          <cell r="B110" t="str">
            <v>0910601060000007</v>
          </cell>
          <cell r="C110" t="str">
            <v>WARD NO.   7</v>
          </cell>
          <cell r="D110" t="str">
            <v>__«•P Ñü. 7</v>
          </cell>
          <cell r="E110">
            <v>0</v>
          </cell>
        </row>
        <row r="111">
          <cell r="B111" t="str">
            <v>0910601060000008</v>
          </cell>
          <cell r="C111" t="str">
            <v>WARD NO.   8</v>
          </cell>
          <cell r="D111" t="str">
            <v>__«•P Ñü. 8</v>
          </cell>
          <cell r="E111">
            <v>0</v>
          </cell>
        </row>
        <row r="112">
          <cell r="B112" t="str">
            <v>0910601060000009</v>
          </cell>
          <cell r="C112" t="str">
            <v>WARD NO.   9</v>
          </cell>
          <cell r="D112" t="str">
            <v>__«•P Ñü. 9</v>
          </cell>
          <cell r="E112">
            <v>0</v>
          </cell>
        </row>
        <row r="113">
          <cell r="B113" t="str">
            <v>0910601060000010</v>
          </cell>
          <cell r="C113" t="str">
            <v>WARD NO.   10</v>
          </cell>
          <cell r="D113" t="str">
            <v>__«•P Ñü. 10</v>
          </cell>
          <cell r="E113">
            <v>0</v>
          </cell>
        </row>
        <row r="114">
          <cell r="B114" t="str">
            <v>0910701070000000</v>
          </cell>
          <cell r="C114" t="str">
            <v>SAMBHAR   M</v>
          </cell>
          <cell r="D114" t="str">
            <v>__ü¬« Ñ.º_.</v>
          </cell>
          <cell r="E114">
            <v>10.24</v>
          </cell>
        </row>
        <row r="115">
          <cell r="B115" t="str">
            <v>0910701070000001</v>
          </cell>
          <cell r="C115" t="str">
            <v>WARD NO.   1</v>
          </cell>
          <cell r="D115" t="str">
            <v>__«•P Ñü. 1</v>
          </cell>
          <cell r="E115">
            <v>0</v>
          </cell>
        </row>
        <row r="116">
          <cell r="B116" t="str">
            <v>0910701070000002</v>
          </cell>
          <cell r="C116" t="str">
            <v>WARD NO.   2</v>
          </cell>
          <cell r="D116" t="str">
            <v>__«•P Ñü. 2</v>
          </cell>
          <cell r="E116">
            <v>0</v>
          </cell>
        </row>
        <row r="117">
          <cell r="B117" t="str">
            <v>0910701070000003</v>
          </cell>
          <cell r="C117" t="str">
            <v>WARD NO.   3</v>
          </cell>
          <cell r="D117" t="str">
            <v>__«•P Ñü. 3</v>
          </cell>
          <cell r="E117">
            <v>0</v>
          </cell>
        </row>
        <row r="118">
          <cell r="B118" t="str">
            <v>0910701070000004</v>
          </cell>
          <cell r="C118" t="str">
            <v>WARD NO.   4</v>
          </cell>
          <cell r="D118" t="str">
            <v>__«•P Ñü. 4</v>
          </cell>
          <cell r="E118">
            <v>0</v>
          </cell>
        </row>
        <row r="119">
          <cell r="B119" t="str">
            <v>0910701070000005</v>
          </cell>
          <cell r="C119" t="str">
            <v>WARD NO.   5</v>
          </cell>
          <cell r="D119" t="str">
            <v>__«•P Ñü. 5</v>
          </cell>
          <cell r="E119">
            <v>0</v>
          </cell>
        </row>
        <row r="120">
          <cell r="B120" t="str">
            <v>0910701070000006</v>
          </cell>
          <cell r="C120" t="str">
            <v>WARD NO.   6</v>
          </cell>
          <cell r="D120" t="str">
            <v>__«•P Ñü. 6</v>
          </cell>
          <cell r="E120">
            <v>0</v>
          </cell>
        </row>
        <row r="121">
          <cell r="B121" t="str">
            <v>0910701070000007</v>
          </cell>
          <cell r="C121" t="str">
            <v>WARD NO.   7</v>
          </cell>
          <cell r="D121" t="str">
            <v>__«•P Ñü. 7</v>
          </cell>
          <cell r="E121">
            <v>0</v>
          </cell>
        </row>
        <row r="122">
          <cell r="B122" t="str">
            <v>0910701070000008</v>
          </cell>
          <cell r="C122" t="str">
            <v>WARD NO.   8</v>
          </cell>
          <cell r="D122" t="str">
            <v>__«•P Ñü. 8</v>
          </cell>
          <cell r="E122">
            <v>0</v>
          </cell>
        </row>
        <row r="123">
          <cell r="B123" t="str">
            <v>0910701070000009</v>
          </cell>
          <cell r="C123" t="str">
            <v>WARD NO.   9</v>
          </cell>
          <cell r="D123" t="str">
            <v>__«•P Ñü. 9</v>
          </cell>
          <cell r="E123">
            <v>0</v>
          </cell>
        </row>
        <row r="124">
          <cell r="B124" t="str">
            <v>0910701070000010</v>
          </cell>
          <cell r="C124" t="str">
            <v>WARD NO.   10</v>
          </cell>
          <cell r="D124" t="str">
            <v>__«•P Ñü. 10</v>
          </cell>
          <cell r="E124">
            <v>0</v>
          </cell>
        </row>
        <row r="125">
          <cell r="B125" t="str">
            <v>0910701070000011</v>
          </cell>
          <cell r="C125" t="str">
            <v>WARD NO.   11</v>
          </cell>
          <cell r="D125" t="str">
            <v>__«•P Ñü. 11</v>
          </cell>
          <cell r="E125">
            <v>0</v>
          </cell>
        </row>
        <row r="126">
          <cell r="B126" t="str">
            <v>0910701070000012</v>
          </cell>
          <cell r="C126" t="str">
            <v>WARD NO.   12</v>
          </cell>
          <cell r="D126" t="str">
            <v>__«•P Ñü. 12</v>
          </cell>
          <cell r="E126">
            <v>0</v>
          </cell>
        </row>
        <row r="127">
          <cell r="B127" t="str">
            <v>0910701070000013</v>
          </cell>
          <cell r="C127" t="str">
            <v>WARD NO.   13</v>
          </cell>
          <cell r="D127" t="str">
            <v>__«•P Ñü. 13</v>
          </cell>
          <cell r="E127">
            <v>0</v>
          </cell>
        </row>
        <row r="128">
          <cell r="B128" t="str">
            <v>0910701070000014</v>
          </cell>
          <cell r="C128" t="str">
            <v>WARD NO.   14</v>
          </cell>
          <cell r="D128" t="str">
            <v>__«•P Ñü. 14</v>
          </cell>
          <cell r="E128">
            <v>0</v>
          </cell>
        </row>
        <row r="129">
          <cell r="B129" t="str">
            <v>0910701070000015</v>
          </cell>
          <cell r="C129" t="str">
            <v>WARD NO.   15</v>
          </cell>
          <cell r="D129" t="str">
            <v>__«•P Ñü. 15</v>
          </cell>
          <cell r="E129">
            <v>0</v>
          </cell>
        </row>
        <row r="130">
          <cell r="B130" t="str">
            <v>0910701070000016</v>
          </cell>
          <cell r="C130" t="str">
            <v>WARD NO.   16</v>
          </cell>
          <cell r="D130" t="str">
            <v>__«•P Ñü. 16</v>
          </cell>
          <cell r="E130">
            <v>0</v>
          </cell>
        </row>
        <row r="131">
          <cell r="B131" t="str">
            <v>0910801080000000</v>
          </cell>
          <cell r="C131" t="str">
            <v>PHULERA   M</v>
          </cell>
          <cell r="D131" t="str">
            <v>¿_ß_«_ Ñ.º_.</v>
          </cell>
          <cell r="E131">
            <v>10.5</v>
          </cell>
        </row>
        <row r="132">
          <cell r="B132" t="str">
            <v>0910801080000001</v>
          </cell>
          <cell r="C132" t="str">
            <v>WARD NO.   1</v>
          </cell>
          <cell r="D132" t="str">
            <v>__«•P Ñü. 1</v>
          </cell>
          <cell r="E132">
            <v>0</v>
          </cell>
        </row>
        <row r="133">
          <cell r="B133" t="str">
            <v>0910801080000002</v>
          </cell>
          <cell r="C133" t="str">
            <v>WARD NO.   2</v>
          </cell>
          <cell r="D133" t="str">
            <v>__«•P Ñü. 2</v>
          </cell>
          <cell r="E133">
            <v>0</v>
          </cell>
        </row>
        <row r="134">
          <cell r="B134" t="str">
            <v>0910801080000003</v>
          </cell>
          <cell r="C134" t="str">
            <v>WARD NO.   3</v>
          </cell>
          <cell r="D134" t="str">
            <v>__«•P Ñü. 3</v>
          </cell>
          <cell r="E134">
            <v>0</v>
          </cell>
        </row>
        <row r="135">
          <cell r="B135" t="str">
            <v>0910801080000004</v>
          </cell>
          <cell r="C135" t="str">
            <v>WARD NO.   4</v>
          </cell>
          <cell r="D135" t="str">
            <v>__«•P Ñü. 4</v>
          </cell>
          <cell r="E135">
            <v>0</v>
          </cell>
        </row>
        <row r="136">
          <cell r="B136" t="str">
            <v>0910801080000005</v>
          </cell>
          <cell r="C136" t="str">
            <v>WARD NO.   5</v>
          </cell>
          <cell r="D136" t="str">
            <v>__«•P Ñü. 5</v>
          </cell>
          <cell r="E136">
            <v>0</v>
          </cell>
        </row>
        <row r="137">
          <cell r="B137" t="str">
            <v>0910801080000006</v>
          </cell>
          <cell r="C137" t="str">
            <v>WARD NO.   6</v>
          </cell>
          <cell r="D137" t="str">
            <v>__«•P Ñü. 6</v>
          </cell>
          <cell r="E137">
            <v>0</v>
          </cell>
        </row>
        <row r="138">
          <cell r="B138" t="str">
            <v>0910801080000007</v>
          </cell>
          <cell r="C138" t="str">
            <v>WARD NO.   7</v>
          </cell>
          <cell r="D138" t="str">
            <v>__«•P Ñü. 7</v>
          </cell>
          <cell r="E138">
            <v>0</v>
          </cell>
        </row>
        <row r="139">
          <cell r="B139" t="str">
            <v>0910801080000008</v>
          </cell>
          <cell r="C139" t="str">
            <v>WARD NO.   8</v>
          </cell>
          <cell r="D139" t="str">
            <v>__«•P Ñü. 8</v>
          </cell>
          <cell r="E139">
            <v>0</v>
          </cell>
        </row>
        <row r="140">
          <cell r="B140" t="str">
            <v>0910801080000009</v>
          </cell>
          <cell r="C140" t="str">
            <v>WARD NO.   9</v>
          </cell>
          <cell r="D140" t="str">
            <v>__«•P Ñü. 9</v>
          </cell>
          <cell r="E140">
            <v>0</v>
          </cell>
        </row>
        <row r="141">
          <cell r="B141" t="str">
            <v>0910801080000010</v>
          </cell>
          <cell r="C141" t="str">
            <v>WARD NO.   10</v>
          </cell>
          <cell r="D141" t="str">
            <v>__«•P Ñü. 10</v>
          </cell>
          <cell r="E141">
            <v>0</v>
          </cell>
        </row>
        <row r="142">
          <cell r="B142" t="str">
            <v>0910801080000011</v>
          </cell>
          <cell r="C142" t="str">
            <v>WARD NO.   11</v>
          </cell>
          <cell r="D142" t="str">
            <v>__«•P Ñü. 11</v>
          </cell>
          <cell r="E142">
            <v>0</v>
          </cell>
        </row>
        <row r="143">
          <cell r="B143" t="str">
            <v>0910801080000012</v>
          </cell>
          <cell r="C143" t="str">
            <v>WARD NO.   12</v>
          </cell>
          <cell r="D143" t="str">
            <v>__«•P Ñü. 12</v>
          </cell>
          <cell r="E143">
            <v>0</v>
          </cell>
        </row>
        <row r="144">
          <cell r="B144" t="str">
            <v>0910801080000013</v>
          </cell>
          <cell r="C144" t="str">
            <v>WARD NO.   13</v>
          </cell>
          <cell r="D144" t="str">
            <v>__«•P Ñü. 13</v>
          </cell>
          <cell r="E144">
            <v>0</v>
          </cell>
        </row>
        <row r="145">
          <cell r="B145" t="str">
            <v>0910901090000000</v>
          </cell>
          <cell r="C145" t="str">
            <v>NARAINA   M</v>
          </cell>
          <cell r="D145" t="str">
            <v>Ñ«_Ñ_ Ñ.º_.</v>
          </cell>
          <cell r="E145">
            <v>36</v>
          </cell>
        </row>
        <row r="146">
          <cell r="B146" t="str">
            <v>0910901090000001</v>
          </cell>
          <cell r="C146" t="str">
            <v>WARD NO.   1</v>
          </cell>
          <cell r="D146" t="str">
            <v>__«•P Ñü. 1</v>
          </cell>
          <cell r="E146">
            <v>0</v>
          </cell>
        </row>
        <row r="147">
          <cell r="B147" t="str">
            <v>0910901090000002</v>
          </cell>
          <cell r="C147" t="str">
            <v>WARD NO.   2</v>
          </cell>
          <cell r="D147" t="str">
            <v>__«•P Ñü. 2</v>
          </cell>
          <cell r="E147">
            <v>0</v>
          </cell>
        </row>
        <row r="148">
          <cell r="B148" t="str">
            <v>0910901090000003</v>
          </cell>
          <cell r="C148" t="str">
            <v>WARD NO.   3</v>
          </cell>
          <cell r="D148" t="str">
            <v>__«•P Ñü. 3</v>
          </cell>
          <cell r="E148">
            <v>0</v>
          </cell>
        </row>
        <row r="149">
          <cell r="B149" t="str">
            <v>0910901090000004</v>
          </cell>
          <cell r="C149" t="str">
            <v>WARD NO.   4</v>
          </cell>
          <cell r="D149" t="str">
            <v>__«•P Ñü. 4</v>
          </cell>
          <cell r="E149">
            <v>0</v>
          </cell>
        </row>
        <row r="150">
          <cell r="B150" t="str">
            <v>0910901090000005</v>
          </cell>
          <cell r="C150" t="str">
            <v>WARD NO.   5</v>
          </cell>
          <cell r="D150" t="str">
            <v>__«•P Ñü. 5</v>
          </cell>
          <cell r="E150">
            <v>0</v>
          </cell>
        </row>
        <row r="151">
          <cell r="B151" t="str">
            <v>0910901090000006</v>
          </cell>
          <cell r="C151" t="str">
            <v>WARD NO.   6</v>
          </cell>
          <cell r="D151" t="str">
            <v>__«•P Ñü. 6</v>
          </cell>
          <cell r="E151">
            <v>0</v>
          </cell>
        </row>
        <row r="152">
          <cell r="B152" t="str">
            <v>0910901090000007</v>
          </cell>
          <cell r="C152" t="str">
            <v>WARD NO.   7</v>
          </cell>
          <cell r="D152" t="str">
            <v>__«•P Ñü. 7</v>
          </cell>
          <cell r="E152">
            <v>0</v>
          </cell>
        </row>
        <row r="153">
          <cell r="B153" t="str">
            <v>0910901090000008</v>
          </cell>
          <cell r="C153" t="str">
            <v>WARD NO.   8</v>
          </cell>
          <cell r="D153" t="str">
            <v>__«•P Ñü. 8</v>
          </cell>
          <cell r="E153">
            <v>0</v>
          </cell>
        </row>
        <row r="154">
          <cell r="B154" t="str">
            <v>0910901090000009</v>
          </cell>
          <cell r="C154" t="str">
            <v>WARD NO.   9</v>
          </cell>
          <cell r="D154" t="str">
            <v>__«•P Ñü. 9</v>
          </cell>
          <cell r="E154">
            <v>0</v>
          </cell>
        </row>
        <row r="155">
          <cell r="B155" t="str">
            <v>0910901090000010</v>
          </cell>
          <cell r="C155" t="str">
            <v>WARD NO.   10</v>
          </cell>
          <cell r="D155" t="str">
            <v>__«•P Ñü. 10</v>
          </cell>
          <cell r="E155">
            <v>0</v>
          </cell>
        </row>
        <row r="156">
          <cell r="B156" t="str">
            <v>0910901090000011</v>
          </cell>
          <cell r="C156" t="str">
            <v>WARD NO.   11</v>
          </cell>
          <cell r="D156" t="str">
            <v>__«•P Ñü. 11</v>
          </cell>
          <cell r="E156">
            <v>0</v>
          </cell>
        </row>
        <row r="157">
          <cell r="B157" t="str">
            <v>0910901090000012</v>
          </cell>
          <cell r="C157" t="str">
            <v>WARD NO.   12</v>
          </cell>
          <cell r="D157" t="str">
            <v>__«•P Ñü. 12</v>
          </cell>
          <cell r="E157">
            <v>0</v>
          </cell>
        </row>
        <row r="158">
          <cell r="B158" t="str">
            <v>0910901090000013</v>
          </cell>
          <cell r="C158" t="str">
            <v>WARD NO.   13</v>
          </cell>
          <cell r="D158" t="str">
            <v>__«•P Ñü. 13</v>
          </cell>
          <cell r="E158">
            <v>0</v>
          </cell>
        </row>
        <row r="159">
          <cell r="B159" t="str">
            <v>0911001100000000</v>
          </cell>
          <cell r="C159" t="str">
            <v>BAGRU*   M</v>
          </cell>
          <cell r="D159" t="str">
            <v>_ö«_ Ñ.º_.</v>
          </cell>
          <cell r="E159">
            <v>32.59</v>
          </cell>
        </row>
        <row r="160">
          <cell r="B160" t="str">
            <v>0911001100000001</v>
          </cell>
          <cell r="C160" t="str">
            <v>WARD NO.   1</v>
          </cell>
          <cell r="D160" t="str">
            <v>__«•P Ñü. 1</v>
          </cell>
          <cell r="E160">
            <v>0</v>
          </cell>
        </row>
        <row r="161">
          <cell r="B161" t="str">
            <v>0911001100000002</v>
          </cell>
          <cell r="C161" t="str">
            <v>WARD NO.   2</v>
          </cell>
          <cell r="D161" t="str">
            <v>__«•P Ñü. 2</v>
          </cell>
          <cell r="E161">
            <v>0</v>
          </cell>
        </row>
        <row r="162">
          <cell r="B162" t="str">
            <v>0911001100000003</v>
          </cell>
          <cell r="C162" t="str">
            <v>WARD NO.   3</v>
          </cell>
          <cell r="D162" t="str">
            <v>__«•P Ñü. 3</v>
          </cell>
          <cell r="E162">
            <v>0</v>
          </cell>
        </row>
        <row r="163">
          <cell r="B163" t="str">
            <v>0911001100000004</v>
          </cell>
          <cell r="C163" t="str">
            <v>WARD NO.   4</v>
          </cell>
          <cell r="D163" t="str">
            <v>__«•P Ñü. 4</v>
          </cell>
          <cell r="E163">
            <v>0</v>
          </cell>
        </row>
        <row r="164">
          <cell r="B164" t="str">
            <v>0911001100000005</v>
          </cell>
          <cell r="C164" t="str">
            <v>WARD NO.   5</v>
          </cell>
          <cell r="D164" t="str">
            <v>__«•P Ñü. 5</v>
          </cell>
          <cell r="E164">
            <v>0</v>
          </cell>
        </row>
        <row r="165">
          <cell r="B165" t="str">
            <v>0911001100000006</v>
          </cell>
          <cell r="C165" t="str">
            <v>WARD NO.   6</v>
          </cell>
          <cell r="D165" t="str">
            <v>__«•P Ñü. 6</v>
          </cell>
          <cell r="E165">
            <v>0</v>
          </cell>
        </row>
        <row r="166">
          <cell r="B166" t="str">
            <v>0911001100000007</v>
          </cell>
          <cell r="C166" t="str">
            <v>WARD NO.   7</v>
          </cell>
          <cell r="D166" t="str">
            <v>__«•P Ñü. 7</v>
          </cell>
          <cell r="E166">
            <v>0</v>
          </cell>
        </row>
        <row r="167">
          <cell r="B167" t="str">
            <v>0911001100000008</v>
          </cell>
          <cell r="C167" t="str">
            <v>WARD NO.   8</v>
          </cell>
          <cell r="D167" t="str">
            <v>__«•P Ñü. 8</v>
          </cell>
          <cell r="E167">
            <v>0</v>
          </cell>
        </row>
        <row r="168">
          <cell r="B168" t="str">
            <v>0911001100000009</v>
          </cell>
          <cell r="C168" t="str">
            <v>WARD NO.   9</v>
          </cell>
          <cell r="D168" t="str">
            <v>__«•P Ñü. 9</v>
          </cell>
          <cell r="E168">
            <v>0</v>
          </cell>
        </row>
        <row r="169">
          <cell r="B169" t="str">
            <v>0911001100000010</v>
          </cell>
          <cell r="C169" t="str">
            <v>WARD NO.   10</v>
          </cell>
          <cell r="D169" t="str">
            <v>__«•P Ñü. 10</v>
          </cell>
          <cell r="E169">
            <v>0</v>
          </cell>
        </row>
        <row r="170">
          <cell r="B170" t="str">
            <v>0911001100000011</v>
          </cell>
          <cell r="C170" t="str">
            <v>WARD NO.   11</v>
          </cell>
          <cell r="D170" t="str">
            <v>__«•P Ñü. 11</v>
          </cell>
          <cell r="E170">
            <v>0</v>
          </cell>
        </row>
        <row r="171">
          <cell r="B171" t="str">
            <v>0911001100000012</v>
          </cell>
          <cell r="C171" t="str">
            <v>WARD NO.   12</v>
          </cell>
          <cell r="D171" t="str">
            <v>__«•P Ñü. 12</v>
          </cell>
          <cell r="E171">
            <v>0</v>
          </cell>
        </row>
        <row r="172">
          <cell r="B172" t="str">
            <v>0911001100000013</v>
          </cell>
          <cell r="C172" t="str">
            <v>WARD NO.   13</v>
          </cell>
          <cell r="D172" t="str">
            <v>__«•P Ñü. 13</v>
          </cell>
          <cell r="E172">
            <v>0</v>
          </cell>
        </row>
        <row r="173">
          <cell r="B173" t="str">
            <v>0911101110000000</v>
          </cell>
          <cell r="C173" t="str">
            <v>BASSI**   M</v>
          </cell>
          <cell r="D173" t="str">
            <v>__•__ Ñ.º_.</v>
          </cell>
          <cell r="E173">
            <v>15</v>
          </cell>
        </row>
        <row r="174">
          <cell r="B174" t="str">
            <v>0911101110000001</v>
          </cell>
          <cell r="C174" t="str">
            <v>WARD NO.   1</v>
          </cell>
          <cell r="D174" t="str">
            <v>__«•P Ñü. 1</v>
          </cell>
          <cell r="E174">
            <v>0</v>
          </cell>
        </row>
        <row r="175">
          <cell r="B175" t="str">
            <v>0911101110000002</v>
          </cell>
          <cell r="C175" t="str">
            <v>WARD NO.   2</v>
          </cell>
          <cell r="D175" t="str">
            <v>__«•P Ñü. 2</v>
          </cell>
          <cell r="E175">
            <v>0</v>
          </cell>
        </row>
        <row r="176">
          <cell r="B176" t="str">
            <v>0911101110000003</v>
          </cell>
          <cell r="C176" t="str">
            <v>WARD NO.   3</v>
          </cell>
          <cell r="D176" t="str">
            <v>__«•P Ñü. 3</v>
          </cell>
          <cell r="E176">
            <v>0</v>
          </cell>
        </row>
        <row r="177">
          <cell r="B177" t="str">
            <v>0911101110000004</v>
          </cell>
          <cell r="C177" t="str">
            <v>WARD NO.   4</v>
          </cell>
          <cell r="D177" t="str">
            <v>__«•P Ñü. 4</v>
          </cell>
          <cell r="E177">
            <v>0</v>
          </cell>
        </row>
        <row r="178">
          <cell r="B178" t="str">
            <v>0911101110000005</v>
          </cell>
          <cell r="C178" t="str">
            <v>WARD NO.   5</v>
          </cell>
          <cell r="D178" t="str">
            <v>__«•P Ñü. 5</v>
          </cell>
          <cell r="E178">
            <v>0</v>
          </cell>
        </row>
        <row r="179">
          <cell r="B179" t="str">
            <v>0911101110000006</v>
          </cell>
          <cell r="C179" t="str">
            <v>WARD NO.   6</v>
          </cell>
          <cell r="D179" t="str">
            <v>__«•P Ñü. 6</v>
          </cell>
          <cell r="E179">
            <v>0</v>
          </cell>
        </row>
        <row r="180">
          <cell r="B180" t="str">
            <v>0911101110000007</v>
          </cell>
          <cell r="C180" t="str">
            <v>WARD NO.   7</v>
          </cell>
          <cell r="D180" t="str">
            <v>__«•P Ñü. 7</v>
          </cell>
          <cell r="E180">
            <v>0</v>
          </cell>
        </row>
        <row r="181">
          <cell r="B181" t="str">
            <v>0911101110000008</v>
          </cell>
          <cell r="C181" t="str">
            <v>WARD NO.   8</v>
          </cell>
          <cell r="D181" t="str">
            <v>__«•P Ñü. 8</v>
          </cell>
          <cell r="E181">
            <v>0</v>
          </cell>
        </row>
        <row r="182">
          <cell r="B182" t="str">
            <v>0911101110000009</v>
          </cell>
          <cell r="C182" t="str">
            <v>WARD NO.   9</v>
          </cell>
          <cell r="D182" t="str">
            <v>__«•P Ñü. 9</v>
          </cell>
          <cell r="E182">
            <v>0</v>
          </cell>
        </row>
        <row r="183">
          <cell r="B183" t="str">
            <v>0911101110000010</v>
          </cell>
          <cell r="C183" t="str">
            <v>WARD NO.   10</v>
          </cell>
          <cell r="D183" t="str">
            <v>__«•P Ñü. 10</v>
          </cell>
          <cell r="E183">
            <v>0</v>
          </cell>
        </row>
        <row r="184">
          <cell r="B184" t="str">
            <v>0911101110000011</v>
          </cell>
          <cell r="C184" t="str">
            <v>WARD NO.   11</v>
          </cell>
          <cell r="D184" t="str">
            <v>__«•P Ñü. 11</v>
          </cell>
          <cell r="E184">
            <v>0</v>
          </cell>
        </row>
        <row r="185">
          <cell r="B185" t="str">
            <v>0911101110000012</v>
          </cell>
          <cell r="C185" t="str">
            <v>WARD NO.   12</v>
          </cell>
          <cell r="D185" t="str">
            <v>__«•P Ñü. 12</v>
          </cell>
          <cell r="E185">
            <v>0</v>
          </cell>
        </row>
        <row r="186">
          <cell r="B186" t="str">
            <v>0911101110000013</v>
          </cell>
          <cell r="C186" t="str">
            <v>WARD NO.   13</v>
          </cell>
          <cell r="D186" t="str">
            <v>__«•P Ñü. 13</v>
          </cell>
          <cell r="E186">
            <v>0</v>
          </cell>
        </row>
        <row r="187">
          <cell r="B187" t="str">
            <v>0911201120000000</v>
          </cell>
          <cell r="C187" t="str">
            <v>CHAKSU   M</v>
          </cell>
          <cell r="D187" t="str">
            <v>ù_Æ__ Ñ.º_.</v>
          </cell>
          <cell r="E187">
            <v>13.25</v>
          </cell>
        </row>
        <row r="188">
          <cell r="B188" t="str">
            <v>0911201120000001</v>
          </cell>
          <cell r="C188" t="str">
            <v>WARD NO.   1</v>
          </cell>
          <cell r="D188" t="str">
            <v>__«•P Ñü. 1</v>
          </cell>
          <cell r="E188">
            <v>0</v>
          </cell>
        </row>
        <row r="189">
          <cell r="B189" t="str">
            <v>0911201120000002</v>
          </cell>
          <cell r="C189" t="str">
            <v>WARD NO.   2</v>
          </cell>
          <cell r="D189" t="str">
            <v>__«•P Ñü. 2</v>
          </cell>
          <cell r="E189">
            <v>0</v>
          </cell>
        </row>
        <row r="190">
          <cell r="B190" t="str">
            <v>0911201120000003</v>
          </cell>
          <cell r="C190" t="str">
            <v>WARD NO.   3</v>
          </cell>
          <cell r="D190" t="str">
            <v>__«•P Ñü. 3</v>
          </cell>
          <cell r="E190">
            <v>0</v>
          </cell>
        </row>
        <row r="191">
          <cell r="B191" t="str">
            <v>0911201120000004</v>
          </cell>
          <cell r="C191" t="str">
            <v>WARD NO.   4</v>
          </cell>
          <cell r="D191" t="str">
            <v>__«•P Ñü. 4</v>
          </cell>
          <cell r="E191">
            <v>0</v>
          </cell>
        </row>
        <row r="192">
          <cell r="B192" t="str">
            <v>0911201120000005</v>
          </cell>
          <cell r="C192" t="str">
            <v>WARD NO.   5</v>
          </cell>
          <cell r="D192" t="str">
            <v>__«•P Ñü. 5</v>
          </cell>
          <cell r="E192">
            <v>0</v>
          </cell>
        </row>
        <row r="193">
          <cell r="B193" t="str">
            <v>0911201120000006</v>
          </cell>
          <cell r="C193" t="str">
            <v>WARD NO.   6</v>
          </cell>
          <cell r="D193" t="str">
            <v>__«•P Ñü. 6</v>
          </cell>
          <cell r="E193">
            <v>0</v>
          </cell>
        </row>
        <row r="194">
          <cell r="B194" t="str">
            <v>0911201120000007</v>
          </cell>
          <cell r="C194" t="str">
            <v>WARD NO.   7</v>
          </cell>
          <cell r="D194" t="str">
            <v>__«•P Ñü. 7</v>
          </cell>
          <cell r="E194">
            <v>0</v>
          </cell>
        </row>
        <row r="195">
          <cell r="B195" t="str">
            <v>0911201120000008</v>
          </cell>
          <cell r="C195" t="str">
            <v>WARD NO.   8</v>
          </cell>
          <cell r="D195" t="str">
            <v>__«•P Ñü. 8</v>
          </cell>
          <cell r="E195">
            <v>0</v>
          </cell>
        </row>
        <row r="196">
          <cell r="B196" t="str">
            <v>0911201120000009</v>
          </cell>
          <cell r="C196" t="str">
            <v>WARD NO.   9</v>
          </cell>
          <cell r="D196" t="str">
            <v>__«•P Ñü. 9</v>
          </cell>
          <cell r="E196">
            <v>0</v>
          </cell>
        </row>
        <row r="197">
          <cell r="B197" t="str">
            <v>0911201120000010</v>
          </cell>
          <cell r="C197" t="str">
            <v>WARD NO.   10</v>
          </cell>
          <cell r="D197" t="str">
            <v>__«•P Ñü. 10</v>
          </cell>
          <cell r="E197">
            <v>0</v>
          </cell>
        </row>
        <row r="198">
          <cell r="B198" t="str">
            <v>0911201120000011</v>
          </cell>
          <cell r="C198" t="str">
            <v>WARD NO.   11</v>
          </cell>
          <cell r="D198" t="str">
            <v>__«•P Ñü. 11</v>
          </cell>
          <cell r="E198">
            <v>0</v>
          </cell>
        </row>
        <row r="199">
          <cell r="B199" t="str">
            <v>0911201120000012</v>
          </cell>
          <cell r="C199" t="str">
            <v>WARD NO.   12</v>
          </cell>
          <cell r="D199" t="str">
            <v>__«•P Ñü. 12</v>
          </cell>
          <cell r="E199">
            <v>0</v>
          </cell>
        </row>
        <row r="200">
          <cell r="B200" t="str">
            <v>0911201120000013</v>
          </cell>
          <cell r="C200" t="str">
            <v>WARD NO.   13</v>
          </cell>
          <cell r="D200" t="str">
            <v>__«•P Ñü. 13</v>
          </cell>
          <cell r="E200">
            <v>0</v>
          </cell>
        </row>
        <row r="201">
          <cell r="B201" t="str">
            <v>0911301130000000</v>
          </cell>
          <cell r="C201" t="str">
            <v>LALSOT   M</v>
          </cell>
          <cell r="D201" t="str">
            <v>ß_ß_÷£ Ñ.º_.</v>
          </cell>
          <cell r="E201">
            <v>9.42</v>
          </cell>
        </row>
        <row r="202">
          <cell r="B202" t="str">
            <v>0911301130000001</v>
          </cell>
          <cell r="C202" t="str">
            <v>WARD NO.   1</v>
          </cell>
          <cell r="D202" t="str">
            <v>__«•P Ñü. 1</v>
          </cell>
          <cell r="E202">
            <v>0</v>
          </cell>
        </row>
        <row r="203">
          <cell r="B203" t="str">
            <v>0911301130000002</v>
          </cell>
          <cell r="C203" t="str">
            <v>WARD NO.   2</v>
          </cell>
          <cell r="D203" t="str">
            <v>__«•P Ñü. 2</v>
          </cell>
          <cell r="E203">
            <v>0</v>
          </cell>
        </row>
        <row r="204">
          <cell r="B204" t="str">
            <v>0911301130000003</v>
          </cell>
          <cell r="C204" t="str">
            <v>WARD NO.   3</v>
          </cell>
          <cell r="D204" t="str">
            <v>__«•P Ñü. 3</v>
          </cell>
          <cell r="E204">
            <v>0</v>
          </cell>
        </row>
        <row r="205">
          <cell r="B205" t="str">
            <v>0911301130000004</v>
          </cell>
          <cell r="C205" t="str">
            <v>WARD NO.   4</v>
          </cell>
          <cell r="D205" t="str">
            <v>__«•P Ñü. 4</v>
          </cell>
          <cell r="E205">
            <v>0</v>
          </cell>
        </row>
        <row r="206">
          <cell r="B206" t="str">
            <v>0911301130000005</v>
          </cell>
          <cell r="C206" t="str">
            <v>WARD NO.   5</v>
          </cell>
          <cell r="D206" t="str">
            <v>__«•P Ñü. 5</v>
          </cell>
          <cell r="E206">
            <v>0</v>
          </cell>
        </row>
        <row r="207">
          <cell r="B207" t="str">
            <v>0911301130000006</v>
          </cell>
          <cell r="C207" t="str">
            <v>WARD NO.   6</v>
          </cell>
          <cell r="D207" t="str">
            <v>__«•P Ñü. 6</v>
          </cell>
          <cell r="E207">
            <v>0</v>
          </cell>
        </row>
        <row r="208">
          <cell r="B208" t="str">
            <v>0911301130000007</v>
          </cell>
          <cell r="C208" t="str">
            <v>WARD NO.   7</v>
          </cell>
          <cell r="D208" t="str">
            <v>__«•P Ñü. 7</v>
          </cell>
          <cell r="E208">
            <v>0</v>
          </cell>
        </row>
        <row r="209">
          <cell r="B209" t="str">
            <v>0911301130000008</v>
          </cell>
          <cell r="C209" t="str">
            <v>WARD NO.   8</v>
          </cell>
          <cell r="D209" t="str">
            <v>__«•P Ñü. 8</v>
          </cell>
          <cell r="E209">
            <v>0</v>
          </cell>
        </row>
        <row r="210">
          <cell r="B210" t="str">
            <v>0911301130000009</v>
          </cell>
          <cell r="C210" t="str">
            <v>WARD NO.   9</v>
          </cell>
          <cell r="D210" t="str">
            <v>__«•P Ñü. 9</v>
          </cell>
          <cell r="E210">
            <v>0</v>
          </cell>
        </row>
        <row r="211">
          <cell r="B211" t="str">
            <v>0911301130000010</v>
          </cell>
          <cell r="C211" t="str">
            <v>WARD NO.   10</v>
          </cell>
          <cell r="D211" t="str">
            <v>__«•P Ñü. 10</v>
          </cell>
          <cell r="E211">
            <v>0</v>
          </cell>
        </row>
        <row r="212">
          <cell r="B212" t="str">
            <v>0911301130000011</v>
          </cell>
          <cell r="C212" t="str">
            <v>WARD NO.   11</v>
          </cell>
          <cell r="D212" t="str">
            <v>__«•P Ñü. 11</v>
          </cell>
          <cell r="E212">
            <v>0</v>
          </cell>
        </row>
        <row r="213">
          <cell r="B213" t="str">
            <v>0911301130000012</v>
          </cell>
          <cell r="C213" t="str">
            <v>WARD NO.   12</v>
          </cell>
          <cell r="D213" t="str">
            <v>__«•P Ñü. 12</v>
          </cell>
          <cell r="E213">
            <v>0</v>
          </cell>
        </row>
        <row r="214">
          <cell r="B214" t="str">
            <v>0911301130000013</v>
          </cell>
          <cell r="C214" t="str">
            <v>WARD NO.   13</v>
          </cell>
          <cell r="D214" t="str">
            <v>__«•P Ñü. 13</v>
          </cell>
          <cell r="E214">
            <v>0</v>
          </cell>
        </row>
        <row r="215">
          <cell r="B215" t="str">
            <v>0911301130000014</v>
          </cell>
          <cell r="C215" t="str">
            <v>WARD NO.   14</v>
          </cell>
          <cell r="D215" t="str">
            <v>__«•P Ñü. 14</v>
          </cell>
          <cell r="E215">
            <v>0</v>
          </cell>
        </row>
        <row r="216">
          <cell r="B216" t="str">
            <v>0911301130000015</v>
          </cell>
          <cell r="C216" t="str">
            <v>WARD NO.   15</v>
          </cell>
          <cell r="D216" t="str">
            <v>__«•P Ñü. 15</v>
          </cell>
          <cell r="E216">
            <v>0</v>
          </cell>
        </row>
        <row r="217">
          <cell r="B217" t="str">
            <v>0911301130000016</v>
          </cell>
          <cell r="C217" t="str">
            <v>WARD NO.   16</v>
          </cell>
          <cell r="D217" t="str">
            <v>__«•P Ñü. 16</v>
          </cell>
          <cell r="E217">
            <v>0</v>
          </cell>
        </row>
        <row r="218">
          <cell r="B218" t="str">
            <v>0911401140000000</v>
          </cell>
          <cell r="C218" t="str">
            <v>DAUSA   M</v>
          </cell>
          <cell r="D218" t="str">
            <v>ú___ Ñ.º_.</v>
          </cell>
          <cell r="E218">
            <v>11</v>
          </cell>
        </row>
        <row r="219">
          <cell r="B219" t="str">
            <v>0911401140000001</v>
          </cell>
          <cell r="C219" t="str">
            <v>WARD NO.   1</v>
          </cell>
          <cell r="D219" t="str">
            <v>__«•P Ñü. 1</v>
          </cell>
          <cell r="E219">
            <v>0</v>
          </cell>
        </row>
        <row r="220">
          <cell r="B220" t="str">
            <v>0911401140000002</v>
          </cell>
          <cell r="C220" t="str">
            <v>WARD NO.   2</v>
          </cell>
          <cell r="D220" t="str">
            <v>__«•P Ñü. 2</v>
          </cell>
          <cell r="E220">
            <v>0</v>
          </cell>
        </row>
        <row r="221">
          <cell r="B221" t="str">
            <v>0911401140000003</v>
          </cell>
          <cell r="C221" t="str">
            <v>WARD NO.   3</v>
          </cell>
          <cell r="D221" t="str">
            <v>__«•P Ñü. 3</v>
          </cell>
          <cell r="E221">
            <v>0</v>
          </cell>
        </row>
        <row r="222">
          <cell r="B222" t="str">
            <v>0911401140000004</v>
          </cell>
          <cell r="C222" t="str">
            <v>WARD NO.   4</v>
          </cell>
          <cell r="D222" t="str">
            <v>__«•P Ñü. 4</v>
          </cell>
          <cell r="E222">
            <v>0</v>
          </cell>
        </row>
        <row r="223">
          <cell r="B223" t="str">
            <v>0911401140000005</v>
          </cell>
          <cell r="C223" t="str">
            <v>WARD NO.   5</v>
          </cell>
          <cell r="D223" t="str">
            <v>__«•P Ñü. 5</v>
          </cell>
          <cell r="E223">
            <v>0</v>
          </cell>
        </row>
        <row r="224">
          <cell r="B224" t="str">
            <v>0911401140000006</v>
          </cell>
          <cell r="C224" t="str">
            <v>WARD NO.   6</v>
          </cell>
          <cell r="D224" t="str">
            <v>__«•P Ñü. 6</v>
          </cell>
          <cell r="E224">
            <v>0</v>
          </cell>
        </row>
        <row r="225">
          <cell r="B225" t="str">
            <v>0911401140000007</v>
          </cell>
          <cell r="C225" t="str">
            <v>WARD NO.   7</v>
          </cell>
          <cell r="D225" t="str">
            <v>__«•P Ñü. 7</v>
          </cell>
          <cell r="E225">
            <v>0</v>
          </cell>
        </row>
        <row r="226">
          <cell r="B226" t="str">
            <v>0911401140000008</v>
          </cell>
          <cell r="C226" t="str">
            <v>WARD NO.   8</v>
          </cell>
          <cell r="D226" t="str">
            <v>__«•P Ñü. 8</v>
          </cell>
          <cell r="E226">
            <v>0</v>
          </cell>
        </row>
        <row r="227">
          <cell r="B227" t="str">
            <v>0911401140000009</v>
          </cell>
          <cell r="C227" t="str">
            <v>WARD NO.   9</v>
          </cell>
          <cell r="D227" t="str">
            <v>__«•P Ñü. 9</v>
          </cell>
          <cell r="E227">
            <v>0</v>
          </cell>
        </row>
        <row r="228">
          <cell r="B228" t="str">
            <v>0911401140000010</v>
          </cell>
          <cell r="C228" t="str">
            <v>WARD NO.   10</v>
          </cell>
          <cell r="D228" t="str">
            <v>__«•P Ñü. 10</v>
          </cell>
          <cell r="E228">
            <v>0</v>
          </cell>
        </row>
        <row r="229">
          <cell r="B229" t="str">
            <v>0911401140000011</v>
          </cell>
          <cell r="C229" t="str">
            <v>WARD NO.   11</v>
          </cell>
          <cell r="D229" t="str">
            <v>__«•P Ñü. 11</v>
          </cell>
          <cell r="E229">
            <v>0</v>
          </cell>
        </row>
        <row r="230">
          <cell r="B230" t="str">
            <v>0911401140000012</v>
          </cell>
          <cell r="C230" t="str">
            <v>WARD NO.   12</v>
          </cell>
          <cell r="D230" t="str">
            <v>__«•P Ñü. 12</v>
          </cell>
          <cell r="E230">
            <v>0</v>
          </cell>
        </row>
        <row r="231">
          <cell r="B231" t="str">
            <v>0911401140000013</v>
          </cell>
          <cell r="C231" t="str">
            <v>WARD NO.   13</v>
          </cell>
          <cell r="D231" t="str">
            <v>__«•P Ñü. 13</v>
          </cell>
          <cell r="E231">
            <v>0</v>
          </cell>
        </row>
        <row r="232">
          <cell r="B232" t="str">
            <v>0911401140000014</v>
          </cell>
          <cell r="C232" t="str">
            <v>WARD NO.   14</v>
          </cell>
          <cell r="D232" t="str">
            <v>__«•P Ñü. 14</v>
          </cell>
          <cell r="E232">
            <v>0</v>
          </cell>
        </row>
        <row r="233">
          <cell r="B233" t="str">
            <v>0911401140000015</v>
          </cell>
          <cell r="C233" t="str">
            <v>WARD NO.   15</v>
          </cell>
          <cell r="D233" t="str">
            <v>__«•P Ñü. 15</v>
          </cell>
          <cell r="E233">
            <v>0</v>
          </cell>
        </row>
        <row r="234">
          <cell r="B234" t="str">
            <v>0911401140000016</v>
          </cell>
          <cell r="C234" t="str">
            <v>WARD NO.   16</v>
          </cell>
          <cell r="D234" t="str">
            <v>__«•P Ñü. 16</v>
          </cell>
          <cell r="E234">
            <v>0</v>
          </cell>
        </row>
        <row r="235">
          <cell r="B235" t="str">
            <v>0911401140000017</v>
          </cell>
          <cell r="C235" t="str">
            <v>WARD NO.   17</v>
          </cell>
          <cell r="D235" t="str">
            <v>__«•P Ñü. 17</v>
          </cell>
          <cell r="E235">
            <v>0</v>
          </cell>
        </row>
        <row r="236">
          <cell r="B236" t="str">
            <v>0911401140000018</v>
          </cell>
          <cell r="C236" t="str">
            <v>WARD NO.   18</v>
          </cell>
          <cell r="D236" t="str">
            <v>__«•P Ñü. 18</v>
          </cell>
          <cell r="E236">
            <v>0</v>
          </cell>
        </row>
        <row r="237">
          <cell r="B237" t="str">
            <v>0911401140000019</v>
          </cell>
          <cell r="C237" t="str">
            <v>WARD NO.   19</v>
          </cell>
          <cell r="D237" t="str">
            <v>__«•P Ñü. 19</v>
          </cell>
          <cell r="E237">
            <v>0</v>
          </cell>
        </row>
        <row r="238">
          <cell r="B238" t="str">
            <v>0911401140000020</v>
          </cell>
          <cell r="C238" t="str">
            <v>WARD NO.   20</v>
          </cell>
          <cell r="D238" t="str">
            <v>__«•P Ñü. 20</v>
          </cell>
          <cell r="E238">
            <v>0</v>
          </cell>
        </row>
        <row r="239">
          <cell r="B239" t="str">
            <v>0911401140000021</v>
          </cell>
          <cell r="C239" t="str">
            <v>WARD NO.   21</v>
          </cell>
          <cell r="D239" t="str">
            <v>__«•P Ñü. 21</v>
          </cell>
          <cell r="E239">
            <v>0</v>
          </cell>
        </row>
        <row r="240">
          <cell r="B240" t="str">
            <v>0911501150000000</v>
          </cell>
          <cell r="C240" t="str">
            <v>BASWA   M</v>
          </cell>
          <cell r="D240" t="str">
            <v>____ Ñ.º_.</v>
          </cell>
          <cell r="E240">
            <v>28.09</v>
          </cell>
        </row>
        <row r="241">
          <cell r="B241" t="str">
            <v>0911501150000001</v>
          </cell>
          <cell r="C241" t="str">
            <v>WARD NO.   1</v>
          </cell>
          <cell r="D241" t="str">
            <v>__«•P Ñü. 1</v>
          </cell>
          <cell r="E241">
            <v>0</v>
          </cell>
        </row>
        <row r="242">
          <cell r="B242" t="str">
            <v>0911501150000002</v>
          </cell>
          <cell r="C242" t="str">
            <v>WARD NO.   2</v>
          </cell>
          <cell r="D242" t="str">
            <v>__«•P Ñü. 2</v>
          </cell>
          <cell r="E242">
            <v>0</v>
          </cell>
        </row>
        <row r="243">
          <cell r="B243" t="str">
            <v>0911501150000003</v>
          </cell>
          <cell r="C243" t="str">
            <v>WARD NO.   3</v>
          </cell>
          <cell r="D243" t="str">
            <v>__«•P Ñü. 3</v>
          </cell>
          <cell r="E243">
            <v>0</v>
          </cell>
        </row>
        <row r="244">
          <cell r="B244" t="str">
            <v>0911501150000004</v>
          </cell>
          <cell r="C244" t="str">
            <v>WARD NO.   4</v>
          </cell>
          <cell r="D244" t="str">
            <v>__«•P Ñü. 4</v>
          </cell>
          <cell r="E244">
            <v>0</v>
          </cell>
        </row>
        <row r="245">
          <cell r="B245" t="str">
            <v>0911501150000005</v>
          </cell>
          <cell r="C245" t="str">
            <v>WARD NO.   5</v>
          </cell>
          <cell r="D245" t="str">
            <v>__«•P Ñü. 5</v>
          </cell>
          <cell r="E245">
            <v>0</v>
          </cell>
        </row>
        <row r="246">
          <cell r="B246" t="str">
            <v>0911501150000006</v>
          </cell>
          <cell r="C246" t="str">
            <v>WARD NO.   6</v>
          </cell>
          <cell r="D246" t="str">
            <v>__«•P Ñü. 6</v>
          </cell>
          <cell r="E246">
            <v>0</v>
          </cell>
        </row>
        <row r="247">
          <cell r="B247" t="str">
            <v>0911501150000007</v>
          </cell>
          <cell r="C247" t="str">
            <v>WARD NO.   7</v>
          </cell>
          <cell r="D247" t="str">
            <v>__«•P Ñü. 7</v>
          </cell>
          <cell r="E247">
            <v>0</v>
          </cell>
        </row>
        <row r="248">
          <cell r="B248" t="str">
            <v>0911501150000008</v>
          </cell>
          <cell r="C248" t="str">
            <v>WARD NO.   8</v>
          </cell>
          <cell r="D248" t="str">
            <v>__«•P Ñü. 8</v>
          </cell>
          <cell r="E248">
            <v>0</v>
          </cell>
        </row>
        <row r="249">
          <cell r="B249" t="str">
            <v>0911501150000009</v>
          </cell>
          <cell r="C249" t="str">
            <v>WARD NO.   9</v>
          </cell>
          <cell r="D249" t="str">
            <v>__«•P Ñü. 9</v>
          </cell>
          <cell r="E249">
            <v>0</v>
          </cell>
        </row>
        <row r="250">
          <cell r="B250" t="str">
            <v>0911501150000010</v>
          </cell>
          <cell r="C250" t="str">
            <v>WARD NO.   10</v>
          </cell>
          <cell r="D250" t="str">
            <v>__«•P Ñü. 10</v>
          </cell>
          <cell r="E250">
            <v>0</v>
          </cell>
        </row>
        <row r="251">
          <cell r="B251" t="str">
            <v>0911501150000011</v>
          </cell>
          <cell r="C251" t="str">
            <v>WARD NO.   11</v>
          </cell>
          <cell r="D251" t="str">
            <v>__«•P Ñü. 11</v>
          </cell>
          <cell r="E251">
            <v>0</v>
          </cell>
        </row>
        <row r="252">
          <cell r="B252" t="str">
            <v>0911501150000012</v>
          </cell>
          <cell r="C252" t="str">
            <v>WARD NO.   12</v>
          </cell>
          <cell r="D252" t="str">
            <v>__«•P Ñü. 12</v>
          </cell>
          <cell r="E252">
            <v>0</v>
          </cell>
        </row>
        <row r="253">
          <cell r="B253" t="str">
            <v>0911501150000013</v>
          </cell>
          <cell r="C253" t="str">
            <v>WARD NO.   13</v>
          </cell>
          <cell r="D253" t="str">
            <v>__«•P Ñü. 13</v>
          </cell>
          <cell r="E253">
            <v>0</v>
          </cell>
        </row>
        <row r="254">
          <cell r="B254" t="str">
            <v>0911601160000000</v>
          </cell>
          <cell r="C254" t="str">
            <v>BANDIKUI   UA</v>
          </cell>
          <cell r="D254" t="str">
            <v>__üú_Æ_å</v>
          </cell>
          <cell r="E254">
            <v>3.18</v>
          </cell>
        </row>
        <row r="255">
          <cell r="B255" t="str">
            <v>0911601161000000</v>
          </cell>
          <cell r="C255" t="str">
            <v>BANDIKUI M &amp; OG</v>
          </cell>
          <cell r="D255" t="str">
            <v>__üú_Æ_å Ñ._.</v>
          </cell>
          <cell r="E255">
            <v>0</v>
          </cell>
        </row>
        <row r="256">
          <cell r="B256" t="str">
            <v>0911601161010000</v>
          </cell>
          <cell r="C256" t="str">
            <v>(i)BANDIKUI   M</v>
          </cell>
          <cell r="D256" t="str">
            <v>(i)__üú_Æ_å Ñ.º_.</v>
          </cell>
          <cell r="E256">
            <v>2</v>
          </cell>
        </row>
        <row r="257">
          <cell r="B257" t="str">
            <v>0911601161010001</v>
          </cell>
          <cell r="C257" t="str">
            <v>WARD NO.   1</v>
          </cell>
          <cell r="D257" t="str">
            <v>__«•P Ñü. 1</v>
          </cell>
          <cell r="E257">
            <v>0</v>
          </cell>
        </row>
        <row r="258">
          <cell r="B258" t="str">
            <v>0911601161010002</v>
          </cell>
          <cell r="C258" t="str">
            <v>WARD NO.   2</v>
          </cell>
          <cell r="D258" t="str">
            <v>__«•P Ñü. 2</v>
          </cell>
          <cell r="E258">
            <v>0</v>
          </cell>
        </row>
        <row r="259">
          <cell r="B259" t="str">
            <v>0911601161010003</v>
          </cell>
          <cell r="C259" t="str">
            <v>WARD NO.   3</v>
          </cell>
          <cell r="D259" t="str">
            <v>__«•P Ñü. 3</v>
          </cell>
          <cell r="E259">
            <v>0</v>
          </cell>
        </row>
        <row r="260">
          <cell r="B260" t="str">
            <v>0911601161010004</v>
          </cell>
          <cell r="C260" t="str">
            <v>WARD NO.   4</v>
          </cell>
          <cell r="D260" t="str">
            <v>__«•P Ñü. 4</v>
          </cell>
          <cell r="E260">
            <v>0</v>
          </cell>
        </row>
        <row r="261">
          <cell r="B261" t="str">
            <v>0911601161010005</v>
          </cell>
          <cell r="C261" t="str">
            <v>WARD NO.   5</v>
          </cell>
          <cell r="D261" t="str">
            <v>__«•P Ñü. 5</v>
          </cell>
          <cell r="E261">
            <v>0</v>
          </cell>
        </row>
        <row r="262">
          <cell r="B262" t="str">
            <v>0911601161010006</v>
          </cell>
          <cell r="C262" t="str">
            <v>WARD NO.   6</v>
          </cell>
          <cell r="D262" t="str">
            <v>__«•P Ñü. 6</v>
          </cell>
          <cell r="E262">
            <v>0</v>
          </cell>
        </row>
        <row r="263">
          <cell r="B263" t="str">
            <v>0911601161010007</v>
          </cell>
          <cell r="C263" t="str">
            <v>WARD NO.   7</v>
          </cell>
          <cell r="D263" t="str">
            <v>__«•P Ñü. 7</v>
          </cell>
          <cell r="E263">
            <v>0</v>
          </cell>
        </row>
        <row r="264">
          <cell r="B264" t="str">
            <v>0911601161010008</v>
          </cell>
          <cell r="C264" t="str">
            <v>WARD NO.   8</v>
          </cell>
          <cell r="D264" t="str">
            <v>__«•P Ñü. 8</v>
          </cell>
          <cell r="E264">
            <v>0</v>
          </cell>
        </row>
        <row r="265">
          <cell r="B265" t="str">
            <v>0911601161010009</v>
          </cell>
          <cell r="C265" t="str">
            <v>WARD NO.   9</v>
          </cell>
          <cell r="D265" t="str">
            <v>__«•P Ñü. 9</v>
          </cell>
          <cell r="E265">
            <v>0</v>
          </cell>
        </row>
        <row r="266">
          <cell r="B266" t="str">
            <v>0911601161010010</v>
          </cell>
          <cell r="C266" t="str">
            <v>WARD NO.   10</v>
          </cell>
          <cell r="D266" t="str">
            <v>__«•P Ñü. 10</v>
          </cell>
          <cell r="E266">
            <v>0</v>
          </cell>
        </row>
        <row r="267">
          <cell r="B267" t="str">
            <v>0911601161010011</v>
          </cell>
          <cell r="C267" t="str">
            <v>WARD NO.   11</v>
          </cell>
          <cell r="D267" t="str">
            <v>__«•P Ñü. 11</v>
          </cell>
          <cell r="E267">
            <v>0</v>
          </cell>
        </row>
        <row r="268">
          <cell r="B268" t="str">
            <v>0911601161010012</v>
          </cell>
          <cell r="C268" t="str">
            <v>WARD NO.   12</v>
          </cell>
          <cell r="D268" t="str">
            <v>__«•P Ñü. 12</v>
          </cell>
          <cell r="E268">
            <v>0</v>
          </cell>
        </row>
        <row r="269">
          <cell r="B269" t="str">
            <v>0911601161010013</v>
          </cell>
          <cell r="C269" t="str">
            <v>WARD NO.   13</v>
          </cell>
          <cell r="D269" t="str">
            <v>__«•P Ñü. 13</v>
          </cell>
          <cell r="E269">
            <v>0</v>
          </cell>
        </row>
        <row r="270">
          <cell r="B270" t="str">
            <v>0911601161020000</v>
          </cell>
          <cell r="C270" t="str">
            <v>(ii)BANDIKUI   OG</v>
          </cell>
          <cell r="D270" t="str">
            <v>(ii)__üú_Æ_å __.__.</v>
          </cell>
          <cell r="E270">
            <v>1.18</v>
          </cell>
        </row>
        <row r="271">
          <cell r="B271" t="str">
            <v>0911601161020000</v>
          </cell>
          <cell r="C271" t="str">
            <v>WARD NO.   0</v>
          </cell>
          <cell r="D271" t="str">
            <v>__«•P Ñü. 0</v>
          </cell>
          <cell r="E271">
            <v>0</v>
          </cell>
        </row>
        <row r="273">
          <cell r="B273" t="str">
            <v>0930013001000000</v>
          </cell>
          <cell r="C273" t="str">
            <v>(a)JAIPUR   MCL</v>
          </cell>
          <cell r="D273" t="str">
            <v>(Æ)Ö¼º_« Ñ.º.</v>
          </cell>
          <cell r="E273">
            <v>200.4</v>
          </cell>
        </row>
        <row r="274">
          <cell r="B274" t="str">
            <v>0930013001000001</v>
          </cell>
          <cell r="C274" t="str">
            <v>WARD NO.   1</v>
          </cell>
          <cell r="D274" t="str">
            <v>__«•P Ñü. 1</v>
          </cell>
          <cell r="E274">
            <v>0</v>
          </cell>
        </row>
        <row r="275">
          <cell r="B275" t="str">
            <v>0930013001000002</v>
          </cell>
          <cell r="C275" t="str">
            <v>WARD NO.   2</v>
          </cell>
          <cell r="D275" t="str">
            <v>__«•P Ñü. 2</v>
          </cell>
          <cell r="E275">
            <v>0</v>
          </cell>
        </row>
        <row r="276">
          <cell r="B276" t="str">
            <v>0930013001000003</v>
          </cell>
          <cell r="C276" t="str">
            <v>WARD NO.   3</v>
          </cell>
          <cell r="D276" t="str">
            <v>__«•P Ñü. 3</v>
          </cell>
          <cell r="E276">
            <v>0</v>
          </cell>
        </row>
        <row r="277">
          <cell r="B277" t="str">
            <v>0930013001000004</v>
          </cell>
          <cell r="C277" t="str">
            <v>WARD NO.   4</v>
          </cell>
          <cell r="D277" t="str">
            <v>__«•P Ñü. 4</v>
          </cell>
          <cell r="E277">
            <v>0</v>
          </cell>
        </row>
        <row r="278">
          <cell r="B278" t="str">
            <v>0930013001000005</v>
          </cell>
          <cell r="C278" t="str">
            <v>WARD NO.   5</v>
          </cell>
          <cell r="D278" t="str">
            <v>__«•P Ñü. 5</v>
          </cell>
          <cell r="E278">
            <v>0</v>
          </cell>
        </row>
        <row r="279">
          <cell r="B279" t="str">
            <v>0930013001000006</v>
          </cell>
          <cell r="C279" t="str">
            <v>WARD NO.   6</v>
          </cell>
          <cell r="D279" t="str">
            <v>__«•P Ñü. 6</v>
          </cell>
          <cell r="E279">
            <v>0</v>
          </cell>
        </row>
        <row r="280">
          <cell r="B280" t="str">
            <v>0930013001000007</v>
          </cell>
          <cell r="C280" t="str">
            <v>WARD NO.   7</v>
          </cell>
          <cell r="D280" t="str">
            <v>__«•P Ñü. 7</v>
          </cell>
          <cell r="E280">
            <v>0</v>
          </cell>
        </row>
        <row r="281">
          <cell r="B281" t="str">
            <v>0930013001000008</v>
          </cell>
          <cell r="C281" t="str">
            <v>WARD NO.   8</v>
          </cell>
          <cell r="D281" t="str">
            <v>__«•P Ñü. 8</v>
          </cell>
          <cell r="E281">
            <v>0</v>
          </cell>
        </row>
        <row r="282">
          <cell r="B282" t="str">
            <v>0930013001000009</v>
          </cell>
          <cell r="C282" t="str">
            <v>WARD NO.   9</v>
          </cell>
          <cell r="D282" t="str">
            <v>__«•P Ñü. 9</v>
          </cell>
          <cell r="E282">
            <v>0</v>
          </cell>
        </row>
        <row r="283">
          <cell r="B283" t="str">
            <v>0930013001000010</v>
          </cell>
          <cell r="C283" t="str">
            <v>WARD NO.   10</v>
          </cell>
          <cell r="D283" t="str">
            <v>__«•P Ñü. 10</v>
          </cell>
          <cell r="E283">
            <v>0</v>
          </cell>
        </row>
        <row r="284">
          <cell r="B284" t="str">
            <v>0930013001000011</v>
          </cell>
          <cell r="C284" t="str">
            <v>WARD NO.   11</v>
          </cell>
          <cell r="D284" t="str">
            <v>__«•P Ñü. 11</v>
          </cell>
          <cell r="E284">
            <v>0</v>
          </cell>
        </row>
        <row r="285">
          <cell r="B285" t="str">
            <v>0930013001000012</v>
          </cell>
          <cell r="C285" t="str">
            <v>WARD NO.   12</v>
          </cell>
          <cell r="D285" t="str">
            <v>__«•P Ñü. 12</v>
          </cell>
          <cell r="E285">
            <v>0</v>
          </cell>
        </row>
        <row r="286">
          <cell r="B286" t="str">
            <v>0930013001000013</v>
          </cell>
          <cell r="C286" t="str">
            <v>WARD NO.   13</v>
          </cell>
          <cell r="D286" t="str">
            <v>__«•P Ñü. 13</v>
          </cell>
          <cell r="E286">
            <v>0</v>
          </cell>
        </row>
        <row r="287">
          <cell r="B287" t="str">
            <v>0930013001000014</v>
          </cell>
          <cell r="C287" t="str">
            <v>WARD NO.   14</v>
          </cell>
          <cell r="D287" t="str">
            <v>__«•P Ñü. 14</v>
          </cell>
          <cell r="E287">
            <v>0</v>
          </cell>
        </row>
        <row r="288">
          <cell r="B288" t="str">
            <v>0930013001000015</v>
          </cell>
          <cell r="C288" t="str">
            <v>WARD NO.   15</v>
          </cell>
          <cell r="D288" t="str">
            <v>__«•P Ñü. 15</v>
          </cell>
          <cell r="E288">
            <v>0</v>
          </cell>
        </row>
        <row r="289">
          <cell r="B289" t="str">
            <v>0930013001000016</v>
          </cell>
          <cell r="C289" t="str">
            <v>WARD NO.   16</v>
          </cell>
          <cell r="D289" t="str">
            <v>__«•P Ñü. 16</v>
          </cell>
          <cell r="E289">
            <v>0</v>
          </cell>
        </row>
        <row r="290">
          <cell r="B290" t="str">
            <v>0930013001000017</v>
          </cell>
          <cell r="C290" t="str">
            <v>WARD NO.   17</v>
          </cell>
          <cell r="D290" t="str">
            <v>__«•P Ñü. 17</v>
          </cell>
          <cell r="E290">
            <v>0</v>
          </cell>
        </row>
        <row r="291">
          <cell r="B291" t="str">
            <v>0930013001000018</v>
          </cell>
          <cell r="C291" t="str">
            <v>WARD NO.   18</v>
          </cell>
          <cell r="D291" t="str">
            <v>__«•P Ñü. 18</v>
          </cell>
          <cell r="E291">
            <v>0</v>
          </cell>
        </row>
        <row r="292">
          <cell r="B292" t="str">
            <v>0930013001000019</v>
          </cell>
          <cell r="C292" t="str">
            <v>WARD NO.   19</v>
          </cell>
          <cell r="D292" t="str">
            <v>__«•P Ñü. 19</v>
          </cell>
          <cell r="E292">
            <v>0</v>
          </cell>
        </row>
        <row r="293">
          <cell r="B293" t="str">
            <v>0930013001000020</v>
          </cell>
          <cell r="C293" t="str">
            <v>WARD NO.   20</v>
          </cell>
          <cell r="D293" t="str">
            <v>__«•P Ñü. 20</v>
          </cell>
          <cell r="E293">
            <v>0</v>
          </cell>
        </row>
        <row r="294">
          <cell r="B294" t="str">
            <v>0930013001000021</v>
          </cell>
          <cell r="C294" t="str">
            <v>WARD NO.   21</v>
          </cell>
          <cell r="D294" t="str">
            <v>__«•P Ñü. 21</v>
          </cell>
          <cell r="E294">
            <v>0</v>
          </cell>
        </row>
        <row r="295">
          <cell r="B295" t="str">
            <v>0930013001000022</v>
          </cell>
          <cell r="C295" t="str">
            <v>WARD NO.   22</v>
          </cell>
          <cell r="D295" t="str">
            <v>__«•P Ñü. 22</v>
          </cell>
          <cell r="E295">
            <v>0</v>
          </cell>
        </row>
        <row r="296">
          <cell r="B296" t="str">
            <v>0930013001000023</v>
          </cell>
          <cell r="C296" t="str">
            <v>WARD NO.   23</v>
          </cell>
          <cell r="D296" t="str">
            <v>__«•P Ñü. 23</v>
          </cell>
          <cell r="E296">
            <v>0</v>
          </cell>
        </row>
        <row r="297">
          <cell r="B297" t="str">
            <v>0930013001000024</v>
          </cell>
          <cell r="C297" t="str">
            <v>WARD NO.   24</v>
          </cell>
          <cell r="D297" t="str">
            <v>__«•P Ñü. 24</v>
          </cell>
          <cell r="E297">
            <v>0</v>
          </cell>
        </row>
        <row r="298">
          <cell r="B298" t="str">
            <v>0930013001000025</v>
          </cell>
          <cell r="C298" t="str">
            <v>WARD NO.   25</v>
          </cell>
          <cell r="D298" t="str">
            <v>__«•P Ñü. 25</v>
          </cell>
          <cell r="E298">
            <v>0</v>
          </cell>
        </row>
        <row r="299">
          <cell r="B299" t="str">
            <v>0930013001000026</v>
          </cell>
          <cell r="C299" t="str">
            <v>WARD NO.   26</v>
          </cell>
          <cell r="D299" t="str">
            <v>__«•P Ñü. 26</v>
          </cell>
          <cell r="E299">
            <v>0</v>
          </cell>
        </row>
        <row r="300">
          <cell r="B300" t="str">
            <v>0930013001000027</v>
          </cell>
          <cell r="C300" t="str">
            <v>WARD NO.   27</v>
          </cell>
          <cell r="D300" t="str">
            <v>__«•P Ñü. 27</v>
          </cell>
          <cell r="E300">
            <v>0</v>
          </cell>
        </row>
        <row r="301">
          <cell r="B301" t="str">
            <v>0930013001000028</v>
          </cell>
          <cell r="C301" t="str">
            <v>WARD NO.   28</v>
          </cell>
          <cell r="D301" t="str">
            <v>__«•P Ñü. 28</v>
          </cell>
          <cell r="E301">
            <v>0</v>
          </cell>
        </row>
        <row r="302">
          <cell r="B302" t="str">
            <v>0930013001000029</v>
          </cell>
          <cell r="C302" t="str">
            <v>WARD NO.   29</v>
          </cell>
          <cell r="D302" t="str">
            <v>__«•P Ñü. 29</v>
          </cell>
          <cell r="E302">
            <v>0</v>
          </cell>
        </row>
        <row r="303">
          <cell r="B303" t="str">
            <v>0930013001000030</v>
          </cell>
          <cell r="C303" t="str">
            <v>WARD NO.   30</v>
          </cell>
          <cell r="D303" t="str">
            <v>__«•P Ñü. 30</v>
          </cell>
          <cell r="E303">
            <v>0</v>
          </cell>
        </row>
        <row r="304">
          <cell r="B304" t="str">
            <v>0930013001000031</v>
          </cell>
          <cell r="C304" t="str">
            <v>WARD NO.   31</v>
          </cell>
          <cell r="D304" t="str">
            <v>__«•P Ñü. 31</v>
          </cell>
          <cell r="E304">
            <v>0</v>
          </cell>
        </row>
        <row r="305">
          <cell r="B305" t="str">
            <v>0930013001000032</v>
          </cell>
          <cell r="C305" t="str">
            <v>WARD NO.   32</v>
          </cell>
          <cell r="D305" t="str">
            <v>__«•P Ñü. 32</v>
          </cell>
          <cell r="E305">
            <v>0</v>
          </cell>
        </row>
        <row r="306">
          <cell r="B306" t="str">
            <v>0930013001000033</v>
          </cell>
          <cell r="C306" t="str">
            <v>WARD NO.   33</v>
          </cell>
          <cell r="D306" t="str">
            <v>__«•P Ñü. 33</v>
          </cell>
          <cell r="E306">
            <v>0</v>
          </cell>
        </row>
        <row r="307">
          <cell r="B307" t="str">
            <v>0930013001000034</v>
          </cell>
          <cell r="C307" t="str">
            <v>WARD NO.   34</v>
          </cell>
          <cell r="D307" t="str">
            <v>__«•P Ñü. 34</v>
          </cell>
          <cell r="E307">
            <v>0</v>
          </cell>
        </row>
        <row r="308">
          <cell r="B308" t="str">
            <v>0930013001000035</v>
          </cell>
          <cell r="C308" t="str">
            <v>WARD NO.   35</v>
          </cell>
          <cell r="D308" t="str">
            <v>__«•P Ñü. 35</v>
          </cell>
          <cell r="E308">
            <v>0</v>
          </cell>
        </row>
        <row r="309">
          <cell r="B309" t="str">
            <v>0930013001000036</v>
          </cell>
          <cell r="C309" t="str">
            <v>WARD NO.   36</v>
          </cell>
          <cell r="D309" t="str">
            <v>__«•P Ñü. 36</v>
          </cell>
          <cell r="E309">
            <v>0</v>
          </cell>
        </row>
        <row r="310">
          <cell r="B310" t="str">
            <v>0930013001000037</v>
          </cell>
          <cell r="C310" t="str">
            <v>WARD NO.   37</v>
          </cell>
          <cell r="D310" t="str">
            <v>__«•P Ñü. 37</v>
          </cell>
          <cell r="E310">
            <v>0</v>
          </cell>
        </row>
        <row r="311">
          <cell r="B311" t="str">
            <v>0930013001000038</v>
          </cell>
          <cell r="C311" t="str">
            <v>WARD NO.   38</v>
          </cell>
          <cell r="D311" t="str">
            <v>__«•P Ñü. 38</v>
          </cell>
          <cell r="E311">
            <v>0</v>
          </cell>
        </row>
        <row r="312">
          <cell r="B312" t="str">
            <v>0930013001000039</v>
          </cell>
          <cell r="C312" t="str">
            <v>WARD NO.   39</v>
          </cell>
          <cell r="D312" t="str">
            <v>__«•P Ñü. 39</v>
          </cell>
          <cell r="E312">
            <v>0</v>
          </cell>
        </row>
        <row r="313">
          <cell r="B313" t="str">
            <v>0930013001000040</v>
          </cell>
          <cell r="C313" t="str">
            <v>WARD NO.   40</v>
          </cell>
          <cell r="D313" t="str">
            <v>__«•P Ñü. 40</v>
          </cell>
          <cell r="E313">
            <v>0</v>
          </cell>
        </row>
        <row r="314">
          <cell r="B314" t="str">
            <v>0930013001000041</v>
          </cell>
          <cell r="C314" t="str">
            <v>WARD NO.   41</v>
          </cell>
          <cell r="D314" t="str">
            <v>__«•P Ñü. 41</v>
          </cell>
          <cell r="E314">
            <v>0</v>
          </cell>
        </row>
        <row r="315">
          <cell r="B315" t="str">
            <v>0930013001000042</v>
          </cell>
          <cell r="C315" t="str">
            <v>WARD NO.   42</v>
          </cell>
          <cell r="D315" t="str">
            <v>__«•P Ñü. 42</v>
          </cell>
          <cell r="E315">
            <v>0</v>
          </cell>
        </row>
        <row r="316">
          <cell r="B316" t="str">
            <v>0930013001000043</v>
          </cell>
          <cell r="C316" t="str">
            <v>WARD NO.   43</v>
          </cell>
          <cell r="D316" t="str">
            <v>__«•P Ñü. 43</v>
          </cell>
          <cell r="E316">
            <v>0</v>
          </cell>
        </row>
        <row r="317">
          <cell r="B317" t="str">
            <v>0930013001000044</v>
          </cell>
          <cell r="C317" t="str">
            <v>WARD NO.   44</v>
          </cell>
          <cell r="D317" t="str">
            <v>__«•P Ñü. 44</v>
          </cell>
          <cell r="E317">
            <v>0</v>
          </cell>
        </row>
        <row r="318">
          <cell r="B318" t="str">
            <v>0930013001000045</v>
          </cell>
          <cell r="C318" t="str">
            <v>WARD NO.   45</v>
          </cell>
          <cell r="D318" t="str">
            <v>__«•P Ñü. 45</v>
          </cell>
          <cell r="E318">
            <v>0</v>
          </cell>
        </row>
        <row r="319">
          <cell r="B319" t="str">
            <v>0930013001000046</v>
          </cell>
          <cell r="C319" t="str">
            <v>WARD NO.   46</v>
          </cell>
          <cell r="D319" t="str">
            <v>__«•P Ñü. 46</v>
          </cell>
          <cell r="E319">
            <v>0</v>
          </cell>
        </row>
        <row r="320">
          <cell r="B320" t="str">
            <v>0930013001000047</v>
          </cell>
          <cell r="C320" t="str">
            <v>WARD NO.   47</v>
          </cell>
          <cell r="D320" t="str">
            <v>__«•P Ñü. 47</v>
          </cell>
          <cell r="E320">
            <v>0</v>
          </cell>
        </row>
        <row r="321">
          <cell r="B321" t="str">
            <v>0930013001000048</v>
          </cell>
          <cell r="C321" t="str">
            <v>WARD NO.   48</v>
          </cell>
          <cell r="D321" t="str">
            <v>__«•P Ñü. 48</v>
          </cell>
          <cell r="E321">
            <v>0</v>
          </cell>
        </row>
        <row r="322">
          <cell r="B322" t="str">
            <v>0930013001000049</v>
          </cell>
          <cell r="C322" t="str">
            <v>WARD NO.   49</v>
          </cell>
          <cell r="D322" t="str">
            <v>__«•P Ñü. 49</v>
          </cell>
          <cell r="E322">
            <v>0</v>
          </cell>
        </row>
        <row r="323">
          <cell r="B323" t="str">
            <v>0930013001000050</v>
          </cell>
          <cell r="C323" t="str">
            <v>WARD NO.   50</v>
          </cell>
          <cell r="D323" t="str">
            <v>__«•P Ñü. 50</v>
          </cell>
          <cell r="E323">
            <v>0</v>
          </cell>
        </row>
        <row r="324">
          <cell r="B324" t="str">
            <v>0930013000000000</v>
          </cell>
          <cell r="C324" t="str">
            <v>JAIPUR   UA</v>
          </cell>
          <cell r="D324" t="str">
            <v>Ö¼º_«</v>
          </cell>
          <cell r="E324">
            <v>218.26</v>
          </cell>
        </row>
        <row r="326">
          <cell r="B326" t="str">
            <v>0930023002000000</v>
          </cell>
          <cell r="C326" t="str">
            <v>(b)SANGANER   M</v>
          </cell>
          <cell r="D326" t="str">
            <v>(ô)__üö_Ñ_« Ñ.º_.</v>
          </cell>
          <cell r="E326">
            <v>12.86</v>
          </cell>
        </row>
        <row r="327">
          <cell r="B327" t="str">
            <v>0930023002000001</v>
          </cell>
          <cell r="C327" t="str">
            <v>WARD NO.   1</v>
          </cell>
          <cell r="D327" t="str">
            <v>__«•P Ñü. 1</v>
          </cell>
          <cell r="E327">
            <v>0</v>
          </cell>
        </row>
        <row r="328">
          <cell r="B328" t="str">
            <v>0930023002000002</v>
          </cell>
          <cell r="C328" t="str">
            <v>WARD NO.   2</v>
          </cell>
          <cell r="D328" t="str">
            <v>__«•P Ñü. 2</v>
          </cell>
          <cell r="E328">
            <v>0</v>
          </cell>
        </row>
        <row r="329">
          <cell r="B329" t="str">
            <v>0930023002000003</v>
          </cell>
          <cell r="C329" t="str">
            <v>WARD NO.   3</v>
          </cell>
          <cell r="D329" t="str">
            <v>__«•P Ñü. 3</v>
          </cell>
          <cell r="E329">
            <v>0</v>
          </cell>
        </row>
        <row r="330">
          <cell r="B330" t="str">
            <v>0930023002000004</v>
          </cell>
          <cell r="C330" t="str">
            <v>WARD NO.   4</v>
          </cell>
          <cell r="D330" t="str">
            <v>__«•P Ñü. 4</v>
          </cell>
          <cell r="E330">
            <v>0</v>
          </cell>
        </row>
        <row r="331">
          <cell r="B331" t="str">
            <v>0930023002000005</v>
          </cell>
          <cell r="C331" t="str">
            <v>WARD NO.   5</v>
          </cell>
          <cell r="D331" t="str">
            <v>__«•P Ñü. 5</v>
          </cell>
          <cell r="E331">
            <v>0</v>
          </cell>
        </row>
        <row r="332">
          <cell r="B332" t="str">
            <v>0930023002000006</v>
          </cell>
          <cell r="C332" t="str">
            <v>WARD NO.   6</v>
          </cell>
          <cell r="D332" t="str">
            <v>__«•P Ñü. 6</v>
          </cell>
          <cell r="E332">
            <v>0</v>
          </cell>
        </row>
        <row r="333">
          <cell r="B333" t="str">
            <v>0930023002000007</v>
          </cell>
          <cell r="C333" t="str">
            <v>WARD NO.   7</v>
          </cell>
          <cell r="D333" t="str">
            <v>__«•P Ñü. 7</v>
          </cell>
          <cell r="E333">
            <v>0</v>
          </cell>
        </row>
        <row r="334">
          <cell r="B334" t="str">
            <v>0930023002000008</v>
          </cell>
          <cell r="C334" t="str">
            <v>WARD NO.   8</v>
          </cell>
          <cell r="D334" t="str">
            <v>__«•P Ñü. 8</v>
          </cell>
          <cell r="E334">
            <v>0</v>
          </cell>
        </row>
        <row r="335">
          <cell r="B335" t="str">
            <v>0930023002000009</v>
          </cell>
          <cell r="C335" t="str">
            <v>WARD NO.   9</v>
          </cell>
          <cell r="D335" t="str">
            <v>__«•P Ñü. 9</v>
          </cell>
          <cell r="E335">
            <v>0</v>
          </cell>
        </row>
        <row r="336">
          <cell r="B336" t="str">
            <v>0930023002000010</v>
          </cell>
          <cell r="C336" t="str">
            <v>WARD NO.   10</v>
          </cell>
          <cell r="D336" t="str">
            <v>__«•P Ñü. 10</v>
          </cell>
          <cell r="E336">
            <v>0</v>
          </cell>
        </row>
        <row r="337">
          <cell r="B337" t="str">
            <v>0930023002000011</v>
          </cell>
          <cell r="C337" t="str">
            <v>WARD NO.   11</v>
          </cell>
          <cell r="D337" t="str">
            <v>__«•P Ñü. 11</v>
          </cell>
          <cell r="E337">
            <v>0</v>
          </cell>
        </row>
        <row r="338">
          <cell r="B338" t="str">
            <v>0930023002000012</v>
          </cell>
          <cell r="C338" t="str">
            <v>WARD NO.   12</v>
          </cell>
          <cell r="D338" t="str">
            <v>__«•P Ñü. 12</v>
          </cell>
          <cell r="E338">
            <v>0</v>
          </cell>
        </row>
        <row r="339">
          <cell r="B339" t="str">
            <v>0930023002000013</v>
          </cell>
          <cell r="C339" t="str">
            <v>WARD NO.   13</v>
          </cell>
          <cell r="D339" t="str">
            <v>__«•P Ñü. 13</v>
          </cell>
          <cell r="E339">
            <v>0</v>
          </cell>
        </row>
        <row r="340">
          <cell r="B340" t="str">
            <v>0930023002000014</v>
          </cell>
          <cell r="C340" t="str">
            <v>WARD NO.   14</v>
          </cell>
          <cell r="D340" t="str">
            <v>__«•P Ñü. 14</v>
          </cell>
          <cell r="E340">
            <v>0</v>
          </cell>
        </row>
        <row r="341">
          <cell r="B341" t="str">
            <v>0930023002000015</v>
          </cell>
          <cell r="C341" t="str">
            <v>WARD NO.   15</v>
          </cell>
          <cell r="D341" t="str">
            <v>__«•P Ñü. 15</v>
          </cell>
          <cell r="E341">
            <v>0</v>
          </cell>
        </row>
        <row r="342">
          <cell r="B342" t="str">
            <v>0930023002000016</v>
          </cell>
          <cell r="C342" t="str">
            <v>WARD NO.   16</v>
          </cell>
          <cell r="D342" t="str">
            <v>__«•P Ñü. 16</v>
          </cell>
          <cell r="E342">
            <v>0</v>
          </cell>
        </row>
        <row r="343">
          <cell r="B343" t="str">
            <v>0930023002000017</v>
          </cell>
          <cell r="C343" t="str">
            <v>WARD NO.   17</v>
          </cell>
          <cell r="D343" t="str">
            <v>__«•P Ñü. 17</v>
          </cell>
          <cell r="E343">
            <v>0</v>
          </cell>
        </row>
        <row r="344">
          <cell r="B344" t="str">
            <v>0930023002000018</v>
          </cell>
          <cell r="C344" t="str">
            <v>WARD NO.   18</v>
          </cell>
          <cell r="D344" t="str">
            <v>__«•P Ñü. 18</v>
          </cell>
          <cell r="E344">
            <v>0</v>
          </cell>
        </row>
        <row r="345">
          <cell r="B345" t="str">
            <v>0930023002000019</v>
          </cell>
          <cell r="C345" t="str">
            <v>WARD NO.   19</v>
          </cell>
          <cell r="D345" t="str">
            <v>__«•P Ñü. 19</v>
          </cell>
          <cell r="E345">
            <v>0</v>
          </cell>
        </row>
        <row r="347">
          <cell r="B347" t="str">
            <v>0930033003000000</v>
          </cell>
          <cell r="C347" t="str">
            <v>(c)AMBER   NAC</v>
          </cell>
          <cell r="D347" t="str">
            <v>(ö)ä½_« â.Æ•µ_._.</v>
          </cell>
          <cell r="E347">
            <v>5</v>
          </cell>
        </row>
        <row r="348">
          <cell r="B348" t="str">
            <v>0930033003000001</v>
          </cell>
          <cell r="C348" t="str">
            <v>WARD NO.   1</v>
          </cell>
          <cell r="D348" t="str">
            <v>__«•P Ñü. 1</v>
          </cell>
          <cell r="E348">
            <v>0</v>
          </cell>
        </row>
        <row r="349">
          <cell r="B349" t="str">
            <v>0930033003000002</v>
          </cell>
          <cell r="C349" t="str">
            <v>WARD NO.   2</v>
          </cell>
          <cell r="D349" t="str">
            <v>__«•P Ñü. 2</v>
          </cell>
          <cell r="E349">
            <v>0</v>
          </cell>
        </row>
        <row r="350">
          <cell r="B350" t="str">
            <v>0930033003000003</v>
          </cell>
          <cell r="C350" t="str">
            <v>WARD NO.   3</v>
          </cell>
          <cell r="D350" t="str">
            <v>__«•P Ñü. 3</v>
          </cell>
          <cell r="E350">
            <v>0</v>
          </cell>
        </row>
        <row r="351">
          <cell r="B351" t="str">
            <v>0930033003000004</v>
          </cell>
          <cell r="C351" t="str">
            <v>WARD NO.   4</v>
          </cell>
          <cell r="D351" t="str">
            <v>__«•P Ñü. 4</v>
          </cell>
          <cell r="E351">
            <v>0</v>
          </cell>
        </row>
        <row r="352">
          <cell r="B352" t="str">
            <v>0930033003000005</v>
          </cell>
          <cell r="C352" t="str">
            <v>WARD NO.   5</v>
          </cell>
          <cell r="D352" t="str">
            <v>__«•P Ñü. 5</v>
          </cell>
          <cell r="E352">
            <v>0</v>
          </cell>
        </row>
        <row r="353">
          <cell r="B353" t="str">
            <v>0930033003000006</v>
          </cell>
          <cell r="C353" t="str">
            <v>WARD NO.   6</v>
          </cell>
          <cell r="D353" t="str">
            <v>__«•P Ñü. 6</v>
          </cell>
          <cell r="E353">
            <v>0</v>
          </cell>
        </row>
        <row r="354">
          <cell r="B354" t="str">
            <v>0930033003000007</v>
          </cell>
          <cell r="C354" t="str">
            <v>WARD NO.   7</v>
          </cell>
          <cell r="D354" t="str">
            <v>__«•P Ñü. 7</v>
          </cell>
          <cell r="E354">
            <v>0</v>
          </cell>
        </row>
        <row r="355">
          <cell r="B355" t="str">
            <v>0930033003000008</v>
          </cell>
          <cell r="C355" t="str">
            <v>WARD NO.   8</v>
          </cell>
          <cell r="D355" t="str">
            <v>__«•P Ñü. 8</v>
          </cell>
          <cell r="E355">
            <v>0</v>
          </cell>
        </row>
        <row r="356">
          <cell r="B356" t="str">
            <v>0930033003000009</v>
          </cell>
          <cell r="C356" t="str">
            <v>WARD NO.   9</v>
          </cell>
          <cell r="D356" t="str">
            <v>__«•P Ñü. 9</v>
          </cell>
          <cell r="E356">
            <v>0</v>
          </cell>
        </row>
        <row r="357">
          <cell r="B357" t="str">
            <v>0930033003000010</v>
          </cell>
          <cell r="C357" t="str">
            <v>WARD NO.   10</v>
          </cell>
          <cell r="D357" t="str">
            <v>__«•P Ñü. 10</v>
          </cell>
          <cell r="E35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Population Growth"/>
      <sheetName val="2- Land Use"/>
      <sheetName val="3- Slum Infrastructure"/>
      <sheetName val="4- Service Levels"/>
      <sheetName val="5- Service Indicators"/>
      <sheetName val="6- Reservoirs"/>
      <sheetName val="7- WConn &amp; PTax"/>
      <sheetName val="8- Water Prod. &amp; Dist."/>
      <sheetName val="9- Water Quality"/>
      <sheetName val="10- Sewer Line Inventory"/>
      <sheetName val="11- Storm Water Drain Inventory"/>
      <sheetName val="12- SWM Composition"/>
      <sheetName val="13- Road Inventory "/>
      <sheetName val="14- Municipal Assets"/>
      <sheetName val="15- Municipal Projects"/>
      <sheetName val="16- Actual Accounts"/>
      <sheetName val="17- Abstract of Accounts"/>
      <sheetName val="18- Finance Indicators"/>
      <sheetName val="19- DCB Statement"/>
      <sheetName val="20- Outstanding Loans"/>
      <sheetName val="21- Project Viability"/>
      <sheetName val="2- - Abstra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1766"/>
  <sheetViews>
    <sheetView tabSelected="1" view="pageBreakPreview" zoomScale="95" zoomScaleNormal="90" zoomScaleSheetLayoutView="95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4.57421875" style="1" customWidth="1"/>
    <col min="2" max="2" width="52.421875" style="140" customWidth="1"/>
    <col min="3" max="3" width="15.00390625" style="85" bestFit="1" customWidth="1"/>
    <col min="4" max="4" width="14.7109375" style="1" bestFit="1" customWidth="1"/>
    <col min="5" max="5" width="45.8515625" style="140" customWidth="1"/>
    <col min="6" max="6" width="9.140625" style="1" customWidth="1"/>
    <col min="7" max="7" width="42.140625" style="1" bestFit="1" customWidth="1"/>
    <col min="8" max="16384" width="9.140625" style="1" customWidth="1"/>
  </cols>
  <sheetData>
    <row r="1" spans="1:5" ht="12.75">
      <c r="A1" s="179" t="s">
        <v>326</v>
      </c>
      <c r="B1" s="179"/>
      <c r="C1" s="162" t="s">
        <v>328</v>
      </c>
      <c r="D1" s="163" t="s">
        <v>329</v>
      </c>
      <c r="E1" s="162" t="s">
        <v>330</v>
      </c>
    </row>
    <row r="2" spans="1:5" ht="12.75">
      <c r="A2" s="3"/>
      <c r="B2" s="4" t="s">
        <v>327</v>
      </c>
      <c r="C2" s="161">
        <v>25</v>
      </c>
      <c r="D2" s="3" t="s">
        <v>54</v>
      </c>
      <c r="E2" s="4"/>
    </row>
    <row r="3" spans="1:5" ht="13.5" thickBot="1">
      <c r="A3" s="195" t="s">
        <v>334</v>
      </c>
      <c r="B3" s="195"/>
      <c r="C3" s="195"/>
      <c r="D3" s="195"/>
      <c r="E3" s="195"/>
    </row>
    <row r="4" spans="1:5" ht="26.25" thickBot="1">
      <c r="A4" s="141" t="s">
        <v>335</v>
      </c>
      <c r="B4" s="142" t="s">
        <v>0</v>
      </c>
      <c r="C4" s="143" t="s">
        <v>2</v>
      </c>
      <c r="D4" s="142" t="s">
        <v>1</v>
      </c>
      <c r="E4" s="144" t="s">
        <v>51</v>
      </c>
    </row>
    <row r="5" spans="1:5" s="10" customFormat="1" ht="12.75">
      <c r="A5" s="5"/>
      <c r="B5" s="6"/>
      <c r="C5" s="7"/>
      <c r="D5" s="8"/>
      <c r="E5" s="9"/>
    </row>
    <row r="6" spans="1:5" s="10" customFormat="1" ht="12.75">
      <c r="A6" s="11"/>
      <c r="B6" s="12" t="s">
        <v>52</v>
      </c>
      <c r="C6" s="13">
        <f>C2*10^6</f>
        <v>25000000</v>
      </c>
      <c r="D6" s="14" t="s">
        <v>53</v>
      </c>
      <c r="E6" s="15"/>
    </row>
    <row r="7" spans="1:5" s="10" customFormat="1" ht="12.75">
      <c r="A7" s="11"/>
      <c r="B7" s="12"/>
      <c r="C7" s="13">
        <f>C2</f>
        <v>25</v>
      </c>
      <c r="D7" s="14" t="s">
        <v>54</v>
      </c>
      <c r="E7" s="15"/>
    </row>
    <row r="8" spans="1:5" s="10" customFormat="1" ht="12.75">
      <c r="A8" s="11"/>
      <c r="B8" s="16"/>
      <c r="C8" s="13">
        <f>C7*1000</f>
        <v>25000</v>
      </c>
      <c r="D8" s="14" t="s">
        <v>55</v>
      </c>
      <c r="E8" s="15"/>
    </row>
    <row r="9" spans="1:5" s="10" customFormat="1" ht="12.75">
      <c r="A9" s="11"/>
      <c r="B9" s="16"/>
      <c r="C9" s="17"/>
      <c r="D9" s="18"/>
      <c r="E9" s="15"/>
    </row>
    <row r="10" spans="1:5" ht="12.75">
      <c r="A10" s="19"/>
      <c r="B10" s="19" t="s">
        <v>56</v>
      </c>
      <c r="C10" s="19"/>
      <c r="D10" s="19"/>
      <c r="E10" s="19"/>
    </row>
    <row r="11" spans="1:5" ht="12.75">
      <c r="A11" s="20">
        <v>1</v>
      </c>
      <c r="B11" s="21" t="s">
        <v>57</v>
      </c>
      <c r="C11" s="22">
        <f>+C6</f>
        <v>25000000</v>
      </c>
      <c r="D11" s="23" t="s">
        <v>9</v>
      </c>
      <c r="E11" s="24"/>
    </row>
    <row r="12" spans="1:5" ht="12.75">
      <c r="A12" s="20"/>
      <c r="B12" s="21" t="s">
        <v>58</v>
      </c>
      <c r="C12" s="166">
        <v>2.25</v>
      </c>
      <c r="D12" s="23"/>
      <c r="E12" s="24"/>
    </row>
    <row r="13" spans="1:5" ht="12.75">
      <c r="A13" s="20">
        <v>2</v>
      </c>
      <c r="B13" s="21" t="s">
        <v>59</v>
      </c>
      <c r="C13" s="22">
        <f>+C11*C12</f>
        <v>56250000</v>
      </c>
      <c r="D13" s="23" t="s">
        <v>9</v>
      </c>
      <c r="E13" s="24"/>
    </row>
    <row r="14" spans="1:5" ht="12.75">
      <c r="A14" s="25">
        <v>3</v>
      </c>
      <c r="B14" s="26" t="s">
        <v>5</v>
      </c>
      <c r="C14" s="166" t="s">
        <v>60</v>
      </c>
      <c r="D14" s="23" t="s">
        <v>61</v>
      </c>
      <c r="E14" s="24"/>
    </row>
    <row r="15" spans="1:5" ht="12.75">
      <c r="A15" s="20">
        <v>4</v>
      </c>
      <c r="B15" s="26" t="s">
        <v>62</v>
      </c>
      <c r="C15" s="166">
        <v>300</v>
      </c>
      <c r="D15" s="23" t="s">
        <v>61</v>
      </c>
      <c r="E15" s="24"/>
    </row>
    <row r="16" spans="1:5" ht="12.75">
      <c r="A16" s="20">
        <v>5</v>
      </c>
      <c r="B16" s="26" t="s">
        <v>7</v>
      </c>
      <c r="C16" s="166" t="s">
        <v>293</v>
      </c>
      <c r="D16" s="23" t="s">
        <v>61</v>
      </c>
      <c r="E16" s="24"/>
    </row>
    <row r="17" spans="1:5" ht="12.75">
      <c r="A17" s="25">
        <v>6</v>
      </c>
      <c r="B17" s="26" t="s">
        <v>63</v>
      </c>
      <c r="C17" s="166">
        <v>460</v>
      </c>
      <c r="D17" s="23" t="s">
        <v>61</v>
      </c>
      <c r="E17" s="24"/>
    </row>
    <row r="18" spans="1:5" ht="12.75">
      <c r="A18" s="20">
        <v>7</v>
      </c>
      <c r="B18" s="26" t="s">
        <v>6</v>
      </c>
      <c r="C18" s="166">
        <v>6.5</v>
      </c>
      <c r="D18" s="23"/>
      <c r="E18" s="24"/>
    </row>
    <row r="19" spans="1:5" ht="12.75">
      <c r="A19" s="20"/>
      <c r="B19" s="26"/>
      <c r="C19" s="27"/>
      <c r="D19" s="23"/>
      <c r="E19" s="24"/>
    </row>
    <row r="20" spans="1:5" ht="12.75">
      <c r="A20" s="28">
        <v>1</v>
      </c>
      <c r="B20" s="19" t="s">
        <v>8</v>
      </c>
      <c r="C20" s="19"/>
      <c r="D20" s="19"/>
      <c r="E20" s="19"/>
    </row>
    <row r="21" spans="1:5" ht="12.75">
      <c r="A21" s="20"/>
      <c r="B21" s="26" t="s">
        <v>64</v>
      </c>
      <c r="C21" s="27">
        <f>+C8</f>
        <v>25000</v>
      </c>
      <c r="D21" s="23" t="s">
        <v>55</v>
      </c>
      <c r="E21" s="24"/>
    </row>
    <row r="22" spans="1:5" ht="12.75">
      <c r="A22" s="20"/>
      <c r="B22" s="26" t="s">
        <v>39</v>
      </c>
      <c r="C22" s="27">
        <f>+C13/1000</f>
        <v>56250</v>
      </c>
      <c r="D22" s="23" t="s">
        <v>55</v>
      </c>
      <c r="E22" s="24"/>
    </row>
    <row r="23" spans="1:5" ht="12.75">
      <c r="A23" s="20"/>
      <c r="B23" s="26"/>
      <c r="C23" s="27">
        <f>+C22/(24*3600)</f>
        <v>0.6510416666666666</v>
      </c>
      <c r="D23" s="23" t="s">
        <v>65</v>
      </c>
      <c r="E23" s="24"/>
    </row>
    <row r="24" spans="1:5" ht="12.75">
      <c r="A24" s="20"/>
      <c r="B24" s="26" t="s">
        <v>66</v>
      </c>
      <c r="C24" s="165">
        <v>10</v>
      </c>
      <c r="D24" s="23" t="s">
        <v>45</v>
      </c>
      <c r="E24" s="24"/>
    </row>
    <row r="25" spans="1:5" ht="12.75">
      <c r="A25" s="20"/>
      <c r="B25" s="26" t="s">
        <v>67</v>
      </c>
      <c r="C25" s="27">
        <f>+C23*C24</f>
        <v>6.510416666666666</v>
      </c>
      <c r="D25" s="23" t="s">
        <v>68</v>
      </c>
      <c r="E25" s="24"/>
    </row>
    <row r="26" spans="1:5" ht="12.75">
      <c r="A26" s="20"/>
      <c r="B26" s="26" t="s">
        <v>69</v>
      </c>
      <c r="C26" s="165">
        <v>0.6</v>
      </c>
      <c r="D26" s="23" t="s">
        <v>11</v>
      </c>
      <c r="E26" s="145"/>
    </row>
    <row r="27" spans="1:5" ht="12.75">
      <c r="A27" s="20"/>
      <c r="B27" s="26" t="s">
        <v>70</v>
      </c>
      <c r="C27" s="27">
        <f>+C25/C26</f>
        <v>10.850694444444445</v>
      </c>
      <c r="D27" s="23" t="s">
        <v>71</v>
      </c>
      <c r="E27" s="24"/>
    </row>
    <row r="28" spans="1:5" ht="12.75">
      <c r="A28" s="20"/>
      <c r="B28" s="26" t="s">
        <v>72</v>
      </c>
      <c r="C28" s="27">
        <v>1</v>
      </c>
      <c r="D28" s="23"/>
      <c r="E28" s="24"/>
    </row>
    <row r="29" spans="1:5" ht="12.75">
      <c r="A29" s="20"/>
      <c r="B29" s="26" t="s">
        <v>73</v>
      </c>
      <c r="C29" s="27">
        <f>+CEILING(SQRT(C27/C28),0.1)</f>
        <v>3.3000000000000003</v>
      </c>
      <c r="D29" s="23" t="s">
        <v>11</v>
      </c>
      <c r="E29" s="24"/>
    </row>
    <row r="30" spans="1:5" ht="12.75">
      <c r="A30" s="20"/>
      <c r="B30" s="26" t="s">
        <v>74</v>
      </c>
      <c r="C30" s="27">
        <f>+C29*C28</f>
        <v>3.3000000000000003</v>
      </c>
      <c r="D30" s="23" t="s">
        <v>11</v>
      </c>
      <c r="E30" s="24"/>
    </row>
    <row r="31" spans="1:5" ht="12.75">
      <c r="A31" s="29"/>
      <c r="B31" s="189" t="str">
        <f>CONCATENATE("Provide the Dimension of ",B20," as ",C30," m x ",C29," m x ",C26," m SWD"," + 0.3 m Freeboard")</f>
        <v>Provide the Dimension of Inlet Chamber as 3.3 m x 3.3 m x 0.6 m SWD + 0.3 m Freeboard</v>
      </c>
      <c r="C31" s="190"/>
      <c r="D31" s="190"/>
      <c r="E31" s="191"/>
    </row>
    <row r="32" spans="1:5" ht="12.75">
      <c r="A32" s="30"/>
      <c r="B32" s="31"/>
      <c r="C32" s="32"/>
      <c r="D32" s="32"/>
      <c r="E32" s="33"/>
    </row>
    <row r="33" spans="1:5" s="10" customFormat="1" ht="12.75">
      <c r="A33" s="28">
        <v>2</v>
      </c>
      <c r="B33" s="19" t="s">
        <v>75</v>
      </c>
      <c r="C33" s="19"/>
      <c r="D33" s="19"/>
      <c r="E33" s="19"/>
    </row>
    <row r="34" spans="1:6" s="10" customFormat="1" ht="38.25">
      <c r="A34" s="34"/>
      <c r="B34" s="35" t="s">
        <v>13</v>
      </c>
      <c r="C34" s="36">
        <f>+C23</f>
        <v>0.6510416666666666</v>
      </c>
      <c r="D34" s="37" t="s">
        <v>76</v>
      </c>
      <c r="E34" s="38" t="s">
        <v>294</v>
      </c>
      <c r="F34" s="39"/>
    </row>
    <row r="35" spans="1:8" s="10" customFormat="1" ht="12.75">
      <c r="A35" s="40"/>
      <c r="B35" s="35" t="s">
        <v>275</v>
      </c>
      <c r="C35" s="167">
        <v>6</v>
      </c>
      <c r="D35" s="42" t="s">
        <v>14</v>
      </c>
      <c r="E35" s="43" t="s">
        <v>15</v>
      </c>
      <c r="F35" s="39"/>
      <c r="G35" s="44"/>
      <c r="H35" s="45"/>
    </row>
    <row r="36" spans="1:8" s="10" customFormat="1" ht="12.75">
      <c r="A36" s="40"/>
      <c r="B36" s="35" t="s">
        <v>276</v>
      </c>
      <c r="C36" s="167">
        <v>0.6</v>
      </c>
      <c r="D36" s="42" t="s">
        <v>16</v>
      </c>
      <c r="E36" s="46" t="s">
        <v>17</v>
      </c>
      <c r="G36" s="44"/>
      <c r="H36" s="45"/>
    </row>
    <row r="37" spans="1:8" s="10" customFormat="1" ht="14.25">
      <c r="A37" s="40"/>
      <c r="B37" s="35" t="s">
        <v>277</v>
      </c>
      <c r="C37" s="41">
        <f>ROUND(C34/C36,2)</f>
        <v>1.09</v>
      </c>
      <c r="D37" s="42" t="s">
        <v>278</v>
      </c>
      <c r="E37" s="46"/>
      <c r="F37" s="39"/>
      <c r="G37" s="44"/>
      <c r="H37" s="45"/>
    </row>
    <row r="38" spans="1:8" s="10" customFormat="1" ht="12.75">
      <c r="A38" s="40"/>
      <c r="B38" s="35" t="s">
        <v>18</v>
      </c>
      <c r="C38" s="167">
        <v>0.5</v>
      </c>
      <c r="D38" s="42" t="s">
        <v>11</v>
      </c>
      <c r="E38" s="46"/>
      <c r="F38" s="39"/>
      <c r="G38" s="44"/>
      <c r="H38" s="45"/>
    </row>
    <row r="39" spans="1:8" s="10" customFormat="1" ht="12.75">
      <c r="A39" s="40"/>
      <c r="B39" s="47" t="s">
        <v>19</v>
      </c>
      <c r="C39" s="36">
        <f>CEILING(ROUND(C37/C38,2),0.1)</f>
        <v>2.2</v>
      </c>
      <c r="D39" s="42" t="s">
        <v>11</v>
      </c>
      <c r="E39" s="46"/>
      <c r="F39" s="39"/>
      <c r="G39" s="44"/>
      <c r="H39" s="45"/>
    </row>
    <row r="40" spans="1:8" s="10" customFormat="1" ht="12.75">
      <c r="A40" s="40"/>
      <c r="B40" s="35" t="s">
        <v>279</v>
      </c>
      <c r="C40" s="41">
        <f>C37/C39</f>
        <v>0.4954545454545454</v>
      </c>
      <c r="D40" s="42" t="s">
        <v>11</v>
      </c>
      <c r="E40" s="46"/>
      <c r="F40" s="48"/>
      <c r="G40" s="49"/>
      <c r="H40" s="45"/>
    </row>
    <row r="41" spans="1:8" s="10" customFormat="1" ht="12.75">
      <c r="A41" s="40"/>
      <c r="B41" s="35" t="s">
        <v>20</v>
      </c>
      <c r="C41" s="41">
        <f>0.01</f>
        <v>0.01</v>
      </c>
      <c r="D41" s="42" t="s">
        <v>11</v>
      </c>
      <c r="E41" s="46"/>
      <c r="F41" s="48"/>
      <c r="G41" s="49"/>
      <c r="H41" s="45"/>
    </row>
    <row r="42" spans="1:8" s="10" customFormat="1" ht="38.25">
      <c r="A42" s="40"/>
      <c r="B42" s="35" t="s">
        <v>21</v>
      </c>
      <c r="C42" s="41">
        <f>ROUND((C39+C41)/((C35/1000)+C41),0)</f>
        <v>138</v>
      </c>
      <c r="D42" s="42" t="s">
        <v>22</v>
      </c>
      <c r="E42" s="46"/>
      <c r="F42" s="48"/>
      <c r="G42" s="50"/>
      <c r="H42" s="45"/>
    </row>
    <row r="43" spans="1:8" s="10" customFormat="1" ht="12.75">
      <c r="A43" s="40"/>
      <c r="B43" s="35" t="s">
        <v>280</v>
      </c>
      <c r="C43" s="41">
        <f>C42*C35/1000</f>
        <v>0.828</v>
      </c>
      <c r="D43" s="42" t="s">
        <v>11</v>
      </c>
      <c r="E43" s="46"/>
      <c r="F43" s="39"/>
      <c r="G43" s="44"/>
      <c r="H43" s="45"/>
    </row>
    <row r="44" spans="1:8" s="10" customFormat="1" ht="12.75">
      <c r="A44" s="40"/>
      <c r="B44" s="35" t="s">
        <v>23</v>
      </c>
      <c r="C44" s="167">
        <v>60</v>
      </c>
      <c r="D44" s="42" t="s">
        <v>24</v>
      </c>
      <c r="E44" s="46"/>
      <c r="F44" s="39"/>
      <c r="G44" s="44"/>
      <c r="H44" s="45"/>
    </row>
    <row r="45" spans="1:8" s="10" customFormat="1" ht="12.75">
      <c r="A45" s="40"/>
      <c r="B45" s="35" t="s">
        <v>77</v>
      </c>
      <c r="C45" s="167">
        <v>6</v>
      </c>
      <c r="D45" s="42" t="s">
        <v>45</v>
      </c>
      <c r="E45" s="46"/>
      <c r="F45" s="39"/>
      <c r="G45" s="44"/>
      <c r="H45" s="45"/>
    </row>
    <row r="46" spans="1:8" s="10" customFormat="1" ht="12.75">
      <c r="A46" s="40"/>
      <c r="B46" s="35" t="s">
        <v>25</v>
      </c>
      <c r="C46" s="36">
        <f>+C45*C36</f>
        <v>3.5999999999999996</v>
      </c>
      <c r="D46" s="42" t="s">
        <v>11</v>
      </c>
      <c r="E46" s="46"/>
      <c r="F46" s="39"/>
      <c r="G46" s="44"/>
      <c r="H46" s="45"/>
    </row>
    <row r="47" spans="1:8" s="10" customFormat="1" ht="12.75">
      <c r="A47" s="40"/>
      <c r="B47" s="35" t="s">
        <v>281</v>
      </c>
      <c r="C47" s="41">
        <f>ROUND(C40/SIN((C44*3.142/180)),3)</f>
        <v>0.572</v>
      </c>
      <c r="D47" s="42" t="s">
        <v>11</v>
      </c>
      <c r="E47" s="46"/>
      <c r="F47" s="39"/>
      <c r="G47" s="51"/>
      <c r="H47" s="45"/>
    </row>
    <row r="48" spans="1:8" s="10" customFormat="1" ht="12.75">
      <c r="A48" s="40"/>
      <c r="B48" s="35" t="s">
        <v>78</v>
      </c>
      <c r="C48" s="41"/>
      <c r="D48" s="42"/>
      <c r="E48" s="46"/>
      <c r="F48" s="39"/>
      <c r="G48" s="44"/>
      <c r="H48" s="45"/>
    </row>
    <row r="49" spans="1:8" s="10" customFormat="1" ht="12.75">
      <c r="A49" s="40"/>
      <c r="B49" s="35" t="s">
        <v>282</v>
      </c>
      <c r="C49" s="41">
        <f>ROUND(C34/(C47*C43),2)</f>
        <v>1.37</v>
      </c>
      <c r="D49" s="42" t="s">
        <v>16</v>
      </c>
      <c r="E49" s="46"/>
      <c r="F49" s="39"/>
      <c r="G49" s="44"/>
      <c r="H49" s="45"/>
    </row>
    <row r="50" spans="1:8" s="10" customFormat="1" ht="30">
      <c r="A50" s="40"/>
      <c r="B50" s="35" t="s">
        <v>283</v>
      </c>
      <c r="C50" s="41">
        <f>ROUND(0.0729*((C49^2)-(C36^2)),2)</f>
        <v>0.11</v>
      </c>
      <c r="D50" s="42" t="s">
        <v>11</v>
      </c>
      <c r="E50" s="46" t="s">
        <v>296</v>
      </c>
      <c r="F50" s="39"/>
      <c r="G50" s="44"/>
      <c r="H50" s="45"/>
    </row>
    <row r="51" spans="1:8" s="10" customFormat="1" ht="14.25">
      <c r="A51" s="40"/>
      <c r="B51" s="35" t="s">
        <v>284</v>
      </c>
      <c r="C51" s="41">
        <f>ROUND(0.0729*((2*C49^2)-(C36^2)),2)</f>
        <v>0.25</v>
      </c>
      <c r="D51" s="42" t="s">
        <v>11</v>
      </c>
      <c r="E51" s="46" t="s">
        <v>295</v>
      </c>
      <c r="F51" s="39"/>
      <c r="G51" s="44"/>
      <c r="H51" s="45"/>
    </row>
    <row r="52" spans="1:8" s="10" customFormat="1" ht="27">
      <c r="A52" s="40"/>
      <c r="B52" s="52" t="s">
        <v>285</v>
      </c>
      <c r="C52" s="41">
        <f>ROUND(((C36^2)/(2*9.81))-((C49^2)/(2*9.81))+C40-C50,2)</f>
        <v>0.31</v>
      </c>
      <c r="D52" s="42" t="s">
        <v>11</v>
      </c>
      <c r="E52" s="53"/>
      <c r="F52" s="51"/>
      <c r="G52" s="44"/>
      <c r="H52" s="45"/>
    </row>
    <row r="53" spans="1:8" s="10" customFormat="1" ht="27">
      <c r="A53" s="40"/>
      <c r="B53" s="52" t="s">
        <v>286</v>
      </c>
      <c r="C53" s="41">
        <f>ROUND(((C36^2)/(2*9.81))-((C49^2)/(2*9.81))+C40-C51,2)</f>
        <v>0.17</v>
      </c>
      <c r="D53" s="42" t="s">
        <v>11</v>
      </c>
      <c r="E53" s="53"/>
      <c r="F53" s="48"/>
      <c r="G53" s="44"/>
      <c r="H53" s="45"/>
    </row>
    <row r="54" spans="1:9" ht="18" customHeight="1">
      <c r="A54" s="29"/>
      <c r="B54" s="192" t="str">
        <f>CONCATENATE("Provide the Dimension of ",B33," as ",C46," m x ",C39," m x ",C38," m SWD"," + 0.3 m Freeboard")</f>
        <v>Provide the Dimension of Screen Chamber (Fine Screens) as 3.6 m x 2.2 m x 0.5 m SWD + 0.3 m Freeboard</v>
      </c>
      <c r="C54" s="192"/>
      <c r="D54" s="192"/>
      <c r="E54" s="193"/>
      <c r="F54" s="39"/>
      <c r="H54" s="44"/>
      <c r="I54" s="45"/>
    </row>
    <row r="55" spans="1:5" s="10" customFormat="1" ht="12.75">
      <c r="A55" s="40"/>
      <c r="B55" s="54"/>
      <c r="C55" s="55"/>
      <c r="D55" s="56"/>
      <c r="E55" s="57"/>
    </row>
    <row r="56" spans="1:5" s="10" customFormat="1" ht="14.25" customHeight="1">
      <c r="A56" s="28">
        <v>3</v>
      </c>
      <c r="B56" s="19" t="s">
        <v>26</v>
      </c>
      <c r="C56" s="19"/>
      <c r="D56" s="19"/>
      <c r="E56" s="19"/>
    </row>
    <row r="57" spans="1:5" s="10" customFormat="1" ht="14.25" customHeight="1">
      <c r="A57" s="40"/>
      <c r="B57" s="26" t="s">
        <v>79</v>
      </c>
      <c r="C57" s="168">
        <v>2</v>
      </c>
      <c r="D57" s="18"/>
      <c r="E57" s="58" t="s">
        <v>80</v>
      </c>
    </row>
    <row r="58" spans="1:5" s="10" customFormat="1" ht="12.75">
      <c r="A58" s="40"/>
      <c r="B58" s="26" t="s">
        <v>27</v>
      </c>
      <c r="C58" s="59"/>
      <c r="D58" s="18"/>
      <c r="E58" s="58"/>
    </row>
    <row r="59" spans="1:5" s="10" customFormat="1" ht="12.75">
      <c r="A59" s="40"/>
      <c r="B59" s="26" t="s">
        <v>81</v>
      </c>
      <c r="C59" s="60">
        <f>1.1*10^-6</f>
        <v>1.1E-06</v>
      </c>
      <c r="D59" s="18" t="s">
        <v>28</v>
      </c>
      <c r="E59" s="58"/>
    </row>
    <row r="60" spans="1:5" s="10" customFormat="1" ht="12.75">
      <c r="A60" s="40"/>
      <c r="B60" s="26" t="s">
        <v>29</v>
      </c>
      <c r="C60" s="61">
        <f>0.15*10^-3</f>
        <v>0.00015</v>
      </c>
      <c r="D60" s="18" t="s">
        <v>11</v>
      </c>
      <c r="E60" s="58"/>
    </row>
    <row r="61" spans="1:5" s="10" customFormat="1" ht="12.75">
      <c r="A61" s="40"/>
      <c r="B61" s="26" t="s">
        <v>30</v>
      </c>
      <c r="C61" s="59">
        <f>ROUND((9.81/18)*(2.65-1)*(C60^2)/C59,2)</f>
        <v>0.02</v>
      </c>
      <c r="D61" s="18" t="s">
        <v>31</v>
      </c>
      <c r="E61" s="58" t="s">
        <v>32</v>
      </c>
    </row>
    <row r="62" spans="1:5" s="10" customFormat="1" ht="12.75">
      <c r="A62" s="40"/>
      <c r="B62" s="26" t="s">
        <v>33</v>
      </c>
      <c r="C62" s="59">
        <f>ROUND(C60*C61/C59,2)</f>
        <v>2.73</v>
      </c>
      <c r="D62" s="18"/>
      <c r="E62" s="58"/>
    </row>
    <row r="63" spans="1:5" s="10" customFormat="1" ht="14.25">
      <c r="A63" s="40"/>
      <c r="B63" s="26" t="s">
        <v>287</v>
      </c>
      <c r="C63" s="59">
        <f>(0.707*(2.65-1)*(C60^1.6)*(C59^-0.6))^0.714</f>
        <v>0.017060942749806705</v>
      </c>
      <c r="D63" s="18" t="s">
        <v>31</v>
      </c>
      <c r="E63" s="58" t="s">
        <v>32</v>
      </c>
    </row>
    <row r="64" spans="1:5" s="10" customFormat="1" ht="12.75">
      <c r="A64" s="40"/>
      <c r="B64" s="26" t="s">
        <v>34</v>
      </c>
      <c r="C64" s="59">
        <f>C63</f>
        <v>0.017060942749806705</v>
      </c>
      <c r="D64" s="18" t="s">
        <v>31</v>
      </c>
      <c r="E64" s="58" t="s">
        <v>32</v>
      </c>
    </row>
    <row r="65" spans="1:5" s="10" customFormat="1" ht="12.75">
      <c r="A65" s="40"/>
      <c r="B65" s="26" t="s">
        <v>331</v>
      </c>
      <c r="C65" s="59">
        <f>ROUND(C64*24*3600,2)</f>
        <v>1474.07</v>
      </c>
      <c r="D65" s="18" t="s">
        <v>35</v>
      </c>
      <c r="E65" s="58"/>
    </row>
    <row r="66" spans="1:5" s="10" customFormat="1" ht="12.75">
      <c r="A66" s="40"/>
      <c r="B66" s="26" t="s">
        <v>36</v>
      </c>
      <c r="C66" s="165">
        <v>75</v>
      </c>
      <c r="D66" s="18" t="s">
        <v>37</v>
      </c>
      <c r="E66" s="58"/>
    </row>
    <row r="67" spans="1:5" s="10" customFormat="1" ht="12.75">
      <c r="A67" s="40"/>
      <c r="B67" s="26"/>
      <c r="C67" s="59">
        <f>C65*C66%</f>
        <v>1105.5525</v>
      </c>
      <c r="D67" s="62" t="s">
        <v>35</v>
      </c>
      <c r="E67" s="58"/>
    </row>
    <row r="68" spans="1:5" s="10" customFormat="1" ht="15.75">
      <c r="A68" s="30"/>
      <c r="B68" s="152" t="s">
        <v>288</v>
      </c>
      <c r="C68" s="153">
        <f>((C63*0.125)/(((1-0.75)^-0.125)-1))*3600*24</f>
        <v>973.8438308478122</v>
      </c>
      <c r="D68" s="62" t="s">
        <v>35</v>
      </c>
      <c r="E68" s="154" t="s">
        <v>310</v>
      </c>
    </row>
    <row r="69" spans="1:5" s="10" customFormat="1" ht="12.75">
      <c r="A69" s="30"/>
      <c r="B69" s="63" t="s">
        <v>38</v>
      </c>
      <c r="C69" s="59"/>
      <c r="D69" s="18"/>
      <c r="E69" s="58"/>
    </row>
    <row r="70" spans="1:5" s="10" customFormat="1" ht="12.75">
      <c r="A70" s="30"/>
      <c r="B70" s="63" t="s">
        <v>39</v>
      </c>
      <c r="C70" s="64">
        <f>C13/1000</f>
        <v>56250</v>
      </c>
      <c r="D70" s="14" t="s">
        <v>40</v>
      </c>
      <c r="E70" s="58"/>
    </row>
    <row r="71" spans="1:5" s="10" customFormat="1" ht="14.25">
      <c r="A71" s="30"/>
      <c r="B71" s="26" t="s">
        <v>41</v>
      </c>
      <c r="C71" s="59">
        <f>ROUND(C70/C68,2)</f>
        <v>57.76</v>
      </c>
      <c r="D71" s="65" t="s">
        <v>278</v>
      </c>
      <c r="E71" s="58"/>
    </row>
    <row r="72" spans="1:5" s="10" customFormat="1" ht="12.75">
      <c r="A72" s="30"/>
      <c r="B72" s="63" t="s">
        <v>42</v>
      </c>
      <c r="C72" s="169">
        <v>2.5</v>
      </c>
      <c r="D72" s="18" t="s">
        <v>11</v>
      </c>
      <c r="E72" s="58"/>
    </row>
    <row r="73" spans="1:5" s="10" customFormat="1" ht="12.75">
      <c r="A73" s="30"/>
      <c r="B73" s="63" t="s">
        <v>43</v>
      </c>
      <c r="C73" s="64">
        <f>ROUND(C71/C72,1)</f>
        <v>23.1</v>
      </c>
      <c r="D73" s="18" t="s">
        <v>11</v>
      </c>
      <c r="E73" s="58"/>
    </row>
    <row r="74" spans="1:5" s="10" customFormat="1" ht="12.75">
      <c r="A74" s="30"/>
      <c r="B74" s="26" t="s">
        <v>44</v>
      </c>
      <c r="C74" s="164">
        <v>1.5</v>
      </c>
      <c r="D74" s="18" t="s">
        <v>11</v>
      </c>
      <c r="E74" s="150"/>
    </row>
    <row r="75" spans="1:5" s="10" customFormat="1" ht="12.75">
      <c r="A75" s="30"/>
      <c r="B75" s="26" t="s">
        <v>332</v>
      </c>
      <c r="C75" s="165">
        <v>0.3</v>
      </c>
      <c r="D75" s="18" t="s">
        <v>11</v>
      </c>
      <c r="E75" s="58"/>
    </row>
    <row r="76" spans="1:5" s="10" customFormat="1" ht="25.5" customHeight="1">
      <c r="A76" s="29"/>
      <c r="B76" s="194" t="str">
        <f>CONCATENATE("Provide the Dimension of ",B56," as ",C73," m x ",C72," m x ",C74," m SWD"," + 0.3 m Freeboard")</f>
        <v>Provide the Dimension of Grit Removal unit as 23.1 m x 2.5 m x 1.5 m SWD + 0.3 m Freeboard</v>
      </c>
      <c r="C76" s="182"/>
      <c r="D76" s="182"/>
      <c r="E76" s="183"/>
    </row>
    <row r="77" spans="1:5" s="10" customFormat="1" ht="12.75">
      <c r="A77" s="30"/>
      <c r="B77" s="26"/>
      <c r="C77" s="66"/>
      <c r="D77" s="66"/>
      <c r="E77" s="67"/>
    </row>
    <row r="78" spans="1:5" s="10" customFormat="1" ht="12.75">
      <c r="A78" s="30"/>
      <c r="B78" s="19" t="s">
        <v>82</v>
      </c>
      <c r="C78" s="66"/>
      <c r="D78" s="66"/>
      <c r="E78" s="67"/>
    </row>
    <row r="79" spans="1:5" s="10" customFormat="1" ht="12.75">
      <c r="A79" s="30"/>
      <c r="B79" s="26" t="s">
        <v>83</v>
      </c>
      <c r="C79" s="59">
        <f>CEILING(ROUND(SQRT(C71),2),0.1)</f>
        <v>7.6000000000000005</v>
      </c>
      <c r="D79" s="18" t="s">
        <v>11</v>
      </c>
      <c r="E79" s="58"/>
    </row>
    <row r="80" spans="1:5" s="10" customFormat="1" ht="12.75">
      <c r="A80" s="29"/>
      <c r="B80" s="194" t="s">
        <v>311</v>
      </c>
      <c r="C80" s="182"/>
      <c r="D80" s="182"/>
      <c r="E80" s="183"/>
    </row>
    <row r="81" spans="1:5" s="10" customFormat="1" ht="12.75">
      <c r="A81" s="30"/>
      <c r="B81" s="26"/>
      <c r="C81" s="59"/>
      <c r="D81" s="18"/>
      <c r="E81" s="58"/>
    </row>
    <row r="82" spans="1:5" s="10" customFormat="1" ht="15" customHeight="1">
      <c r="A82" s="28">
        <v>4</v>
      </c>
      <c r="B82" s="19" t="s">
        <v>84</v>
      </c>
      <c r="C82" s="59"/>
      <c r="D82" s="59"/>
      <c r="E82" s="68" t="s">
        <v>85</v>
      </c>
    </row>
    <row r="83" spans="1:5" ht="12.75">
      <c r="A83" s="69"/>
      <c r="B83" s="70" t="s">
        <v>86</v>
      </c>
      <c r="C83" s="27">
        <f>C72</f>
        <v>2.5</v>
      </c>
      <c r="D83" s="71" t="s">
        <v>11</v>
      </c>
      <c r="E83" s="24"/>
    </row>
    <row r="84" spans="1:5" ht="12.75">
      <c r="A84" s="69"/>
      <c r="B84" s="72" t="s">
        <v>87</v>
      </c>
      <c r="C84" s="170">
        <v>0.3</v>
      </c>
      <c r="D84" s="71" t="s">
        <v>11</v>
      </c>
      <c r="E84" s="73" t="s">
        <v>88</v>
      </c>
    </row>
    <row r="85" spans="1:5" ht="12.75">
      <c r="A85" s="69"/>
      <c r="B85" s="72" t="s">
        <v>89</v>
      </c>
      <c r="C85" s="170">
        <v>1.35</v>
      </c>
      <c r="D85" s="71" t="s">
        <v>11</v>
      </c>
      <c r="E85" s="73" t="s">
        <v>88</v>
      </c>
    </row>
    <row r="86" spans="1:5" ht="12.75">
      <c r="A86" s="69"/>
      <c r="B86" s="72" t="s">
        <v>90</v>
      </c>
      <c r="C86" s="170">
        <v>0.831</v>
      </c>
      <c r="D86" s="71" t="s">
        <v>11</v>
      </c>
      <c r="E86" s="73" t="s">
        <v>88</v>
      </c>
    </row>
    <row r="87" spans="1:5" ht="12.75">
      <c r="A87" s="69"/>
      <c r="B87" s="72" t="s">
        <v>91</v>
      </c>
      <c r="C87" s="170">
        <v>1.322</v>
      </c>
      <c r="D87" s="71" t="s">
        <v>11</v>
      </c>
      <c r="E87" s="73" t="s">
        <v>88</v>
      </c>
    </row>
    <row r="88" spans="1:5" ht="12.75">
      <c r="A88" s="69"/>
      <c r="B88" s="72" t="s">
        <v>92</v>
      </c>
      <c r="C88" s="170">
        <v>0.9</v>
      </c>
      <c r="D88" s="71" t="s">
        <v>11</v>
      </c>
      <c r="E88" s="73" t="s">
        <v>88</v>
      </c>
    </row>
    <row r="89" spans="1:5" ht="12.75">
      <c r="A89" s="69"/>
      <c r="B89" s="72" t="s">
        <v>93</v>
      </c>
      <c r="C89" s="170">
        <v>0.6</v>
      </c>
      <c r="D89" s="71" t="s">
        <v>11</v>
      </c>
      <c r="E89" s="73" t="s">
        <v>88</v>
      </c>
    </row>
    <row r="90" spans="1:5" ht="12.75">
      <c r="A90" s="69"/>
      <c r="B90" s="70" t="s">
        <v>94</v>
      </c>
      <c r="C90" s="170">
        <v>0.6</v>
      </c>
      <c r="D90" s="71" t="s">
        <v>11</v>
      </c>
      <c r="E90" s="73" t="s">
        <v>88</v>
      </c>
    </row>
    <row r="91" spans="1:5" ht="12.75">
      <c r="A91" s="69"/>
      <c r="B91" s="70" t="s">
        <v>95</v>
      </c>
      <c r="C91" s="170">
        <v>0.075</v>
      </c>
      <c r="D91" s="71" t="s">
        <v>11</v>
      </c>
      <c r="E91" s="73" t="s">
        <v>96</v>
      </c>
    </row>
    <row r="92" spans="1:5" ht="12.75">
      <c r="A92" s="69"/>
      <c r="B92" s="21" t="s">
        <v>97</v>
      </c>
      <c r="C92" s="147">
        <v>0.38</v>
      </c>
      <c r="D92" s="71" t="s">
        <v>11</v>
      </c>
      <c r="E92" s="73" t="s">
        <v>96</v>
      </c>
    </row>
    <row r="93" spans="1:5" ht="12.75">
      <c r="A93" s="69"/>
      <c r="B93" s="70" t="s">
        <v>98</v>
      </c>
      <c r="C93" s="146">
        <v>0.25</v>
      </c>
      <c r="D93" s="71" t="s">
        <v>11</v>
      </c>
      <c r="E93" s="24"/>
    </row>
    <row r="94" spans="1:5" ht="12.75">
      <c r="A94" s="69"/>
      <c r="B94" s="70"/>
      <c r="C94" s="27"/>
      <c r="D94" s="71"/>
      <c r="E94" s="24"/>
    </row>
    <row r="95" spans="1:5" ht="12.75">
      <c r="A95" s="25"/>
      <c r="B95" s="74" t="s">
        <v>99</v>
      </c>
      <c r="C95" s="71"/>
      <c r="D95" s="71"/>
      <c r="E95" s="75"/>
    </row>
    <row r="96" spans="1:6" ht="12.75">
      <c r="A96" s="69"/>
      <c r="B96" s="76" t="s">
        <v>100</v>
      </c>
      <c r="C96" s="77" t="s">
        <v>101</v>
      </c>
      <c r="D96" s="77" t="s">
        <v>102</v>
      </c>
      <c r="E96" s="78" t="s">
        <v>103</v>
      </c>
      <c r="F96" s="79" t="s">
        <v>104</v>
      </c>
    </row>
    <row r="97" spans="1:13" ht="12.75">
      <c r="A97" s="69"/>
      <c r="B97" s="171">
        <v>30</v>
      </c>
      <c r="C97" s="80">
        <f>B97*(10^6/24/60/60)</f>
        <v>347.22222222222223</v>
      </c>
      <c r="D97" s="80">
        <f>((((C97/2264/$C$84)^0.67)*1.1)-$C$92)</f>
        <v>0.32171583117551916</v>
      </c>
      <c r="E97" s="81">
        <f>$C$83*D97</f>
        <v>0.804289577938798</v>
      </c>
      <c r="F97" s="82">
        <f>C97/1000/E97</f>
        <v>0.4317129448725045</v>
      </c>
      <c r="G97" s="83" t="s">
        <v>105</v>
      </c>
      <c r="J97" s="187"/>
      <c r="K97" s="187"/>
      <c r="L97" s="187"/>
      <c r="M97" s="187"/>
    </row>
    <row r="98" spans="1:13" ht="12.75">
      <c r="A98" s="69"/>
      <c r="B98" s="171">
        <f>B97+30</f>
        <v>60</v>
      </c>
      <c r="C98" s="80">
        <f>B98*(10^6/24/60/60)</f>
        <v>694.4444444444445</v>
      </c>
      <c r="D98" s="80">
        <f>((((C98/2264/$C$84)^0.67)*1.1)-$C$92)</f>
        <v>0.7364810898570652</v>
      </c>
      <c r="E98" s="81">
        <f>$C$83*D98</f>
        <v>1.841202724642663</v>
      </c>
      <c r="F98" s="82">
        <f>C98/1000/E98</f>
        <v>0.37716892070058217</v>
      </c>
      <c r="J98" s="187"/>
      <c r="K98" s="187"/>
      <c r="L98" s="187"/>
      <c r="M98" s="187"/>
    </row>
    <row r="99" spans="1:13" ht="12.75">
      <c r="A99" s="69"/>
      <c r="B99" s="171">
        <f>+(B98+30)</f>
        <v>90</v>
      </c>
      <c r="C99" s="80">
        <f>B99*(10^6/24/60/60)</f>
        <v>1041.6666666666667</v>
      </c>
      <c r="D99" s="80">
        <f>((((C99/2264/$C$84)^0.67)*1.1)-$C$92)</f>
        <v>1.0849827645724255</v>
      </c>
      <c r="E99" s="81">
        <f>$C$83*D99</f>
        <v>2.7124569114310635</v>
      </c>
      <c r="F99" s="82">
        <f>C99/1000/E99</f>
        <v>0.3840306779719846</v>
      </c>
      <c r="J99" s="187"/>
      <c r="K99" s="187"/>
      <c r="L99" s="187"/>
      <c r="M99" s="187"/>
    </row>
    <row r="100" spans="1:13" ht="12.75">
      <c r="A100" s="69"/>
      <c r="B100" s="171">
        <f>+(B99+30)</f>
        <v>120</v>
      </c>
      <c r="C100" s="80">
        <f>B100*(10^6/24/60/60)</f>
        <v>1388.888888888889</v>
      </c>
      <c r="D100" s="80">
        <f>((((C100/2264/$C$84)^0.67)*1.1)-$C$92)</f>
        <v>1.3964028808074982</v>
      </c>
      <c r="E100" s="81">
        <f>$C$83*D100</f>
        <v>3.4910072020187455</v>
      </c>
      <c r="F100" s="82">
        <f>C100/1000/E100</f>
        <v>0.3978476148905496</v>
      </c>
      <c r="J100" s="187"/>
      <c r="K100" s="187"/>
      <c r="L100" s="187"/>
      <c r="M100" s="187"/>
    </row>
    <row r="101" spans="1:12" ht="12.75">
      <c r="A101" s="69"/>
      <c r="B101" s="171">
        <f>+(B100+30)</f>
        <v>150</v>
      </c>
      <c r="C101" s="80">
        <f>B101*(10^6/24/60/60)</f>
        <v>1736.111111111111</v>
      </c>
      <c r="D101" s="80">
        <f>((((C101/2264/$C$84)^0.67)*1.1)-$C$92)</f>
        <v>1.6828667580974148</v>
      </c>
      <c r="E101" s="81">
        <f>$C$83*D101</f>
        <v>4.207166895243537</v>
      </c>
      <c r="F101" s="82">
        <f>C101/1000/E101</f>
        <v>0.4126556312928523</v>
      </c>
      <c r="G101" s="83" t="s">
        <v>106</v>
      </c>
      <c r="J101" s="84"/>
      <c r="L101" s="85"/>
    </row>
    <row r="102" spans="1:13" ht="25.5">
      <c r="A102" s="25"/>
      <c r="B102" s="86" t="s">
        <v>289</v>
      </c>
      <c r="C102" s="87"/>
      <c r="D102" s="87"/>
      <c r="E102" s="24"/>
      <c r="L102" s="85"/>
      <c r="M102" s="88"/>
    </row>
    <row r="103" spans="1:13" ht="25.5">
      <c r="A103" s="25"/>
      <c r="B103" s="86" t="s">
        <v>290</v>
      </c>
      <c r="C103" s="87"/>
      <c r="D103" s="87"/>
      <c r="E103" s="24"/>
      <c r="M103" s="88"/>
    </row>
    <row r="104" spans="1:9" ht="12.75">
      <c r="A104" s="25"/>
      <c r="B104" s="89" t="s">
        <v>297</v>
      </c>
      <c r="C104" s="90"/>
      <c r="D104" s="90"/>
      <c r="E104" s="91"/>
      <c r="F104" s="39"/>
      <c r="H104" s="44"/>
      <c r="I104" s="45"/>
    </row>
    <row r="105" spans="1:9" ht="12.75">
      <c r="A105" s="28">
        <v>5</v>
      </c>
      <c r="B105" s="19" t="s">
        <v>107</v>
      </c>
      <c r="C105" s="19"/>
      <c r="D105" s="19"/>
      <c r="E105" s="19"/>
      <c r="F105" s="39"/>
      <c r="H105" s="44"/>
      <c r="I105" s="45"/>
    </row>
    <row r="106" spans="1:9" ht="12.75">
      <c r="A106" s="20"/>
      <c r="B106" s="89" t="s">
        <v>13</v>
      </c>
      <c r="C106" s="92">
        <f>+C13/1000</f>
        <v>56250</v>
      </c>
      <c r="D106" s="93" t="s">
        <v>55</v>
      </c>
      <c r="E106" s="91"/>
      <c r="F106" s="39"/>
      <c r="H106" s="44"/>
      <c r="I106" s="45"/>
    </row>
    <row r="107" spans="1:9" ht="12.75">
      <c r="A107" s="20"/>
      <c r="B107" s="89" t="s">
        <v>66</v>
      </c>
      <c r="C107" s="172">
        <v>2.1</v>
      </c>
      <c r="D107" s="93" t="s">
        <v>108</v>
      </c>
      <c r="E107" s="155"/>
      <c r="F107" s="39"/>
      <c r="H107" s="44"/>
      <c r="I107" s="45"/>
    </row>
    <row r="108" spans="1:9" ht="12.75">
      <c r="A108" s="20"/>
      <c r="B108" s="89" t="s">
        <v>109</v>
      </c>
      <c r="C108" s="90">
        <f>+C106/24*C107</f>
        <v>4921.875</v>
      </c>
      <c r="D108" s="93" t="s">
        <v>68</v>
      </c>
      <c r="E108" s="91"/>
      <c r="F108" s="39"/>
      <c r="H108" s="44"/>
      <c r="I108" s="45"/>
    </row>
    <row r="109" spans="1:9" ht="12.75">
      <c r="A109" s="20"/>
      <c r="B109" s="89" t="s">
        <v>110</v>
      </c>
      <c r="C109" s="172">
        <v>2.5</v>
      </c>
      <c r="D109" s="93" t="s">
        <v>11</v>
      </c>
      <c r="E109" s="91"/>
      <c r="F109" s="39"/>
      <c r="H109" s="44"/>
      <c r="I109" s="45"/>
    </row>
    <row r="110" spans="1:9" ht="12.75">
      <c r="A110" s="20"/>
      <c r="B110" s="89" t="s">
        <v>111</v>
      </c>
      <c r="C110" s="90">
        <f>+C108/C109</f>
        <v>1968.75</v>
      </c>
      <c r="D110" s="93" t="s">
        <v>71</v>
      </c>
      <c r="E110" s="91"/>
      <c r="F110" s="39"/>
      <c r="H110" s="44"/>
      <c r="I110" s="45"/>
    </row>
    <row r="111" spans="1:9" ht="12.75">
      <c r="A111" s="20"/>
      <c r="B111" s="89" t="s">
        <v>112</v>
      </c>
      <c r="C111" s="172">
        <v>2</v>
      </c>
      <c r="D111" s="93"/>
      <c r="E111" s="91"/>
      <c r="F111" s="39"/>
      <c r="H111" s="44"/>
      <c r="I111" s="45"/>
    </row>
    <row r="112" spans="1:9" ht="12.75">
      <c r="A112" s="20"/>
      <c r="B112" s="89" t="s">
        <v>113</v>
      </c>
      <c r="C112" s="90">
        <f>C110/C111</f>
        <v>984.375</v>
      </c>
      <c r="D112" s="93" t="s">
        <v>71</v>
      </c>
      <c r="E112" s="91"/>
      <c r="F112" s="39"/>
      <c r="H112" s="44"/>
      <c r="I112" s="45"/>
    </row>
    <row r="113" spans="1:9" ht="12.75">
      <c r="A113" s="20"/>
      <c r="B113" s="89" t="s">
        <v>114</v>
      </c>
      <c r="C113" s="172">
        <v>1</v>
      </c>
      <c r="D113" s="93"/>
      <c r="E113" s="91"/>
      <c r="F113" s="39"/>
      <c r="H113" s="44"/>
      <c r="I113" s="45"/>
    </row>
    <row r="114" spans="1:9" ht="12.75">
      <c r="A114" s="20"/>
      <c r="B114" s="89" t="s">
        <v>115</v>
      </c>
      <c r="C114" s="90">
        <f>+CEILING(SQRT((C112/C113)),0.5)</f>
        <v>31.5</v>
      </c>
      <c r="D114" s="93" t="s">
        <v>11</v>
      </c>
      <c r="E114" s="91"/>
      <c r="F114" s="39"/>
      <c r="H114" s="44"/>
      <c r="I114" s="45"/>
    </row>
    <row r="115" spans="1:9" ht="12.75">
      <c r="A115" s="20"/>
      <c r="B115" s="89" t="s">
        <v>116</v>
      </c>
      <c r="C115" s="90">
        <f>+C114*C113</f>
        <v>31.5</v>
      </c>
      <c r="D115" s="93" t="s">
        <v>11</v>
      </c>
      <c r="E115" s="94"/>
      <c r="F115" s="39"/>
      <c r="H115" s="44"/>
      <c r="I115" s="45"/>
    </row>
    <row r="116" spans="1:9" ht="12.75">
      <c r="A116" s="20"/>
      <c r="B116" s="194" t="str">
        <f>CONCATENATE("Provide the Dimension of ",B105," as ",C114," m x ",C114," m x ",C109," m SWD"," + 0.3 m Freeboard")</f>
        <v>Provide the Dimension of Equalization Tank (Collection Chamber ) as 31.5 m x 31.5 m x 2.5 m SWD + 0.3 m Freeboard</v>
      </c>
      <c r="C116" s="182"/>
      <c r="D116" s="182"/>
      <c r="E116" s="183"/>
      <c r="F116" s="39"/>
      <c r="H116" s="44"/>
      <c r="I116" s="45"/>
    </row>
    <row r="117" spans="1:9" ht="12.75">
      <c r="A117" s="25"/>
      <c r="B117" s="89"/>
      <c r="C117" s="90"/>
      <c r="D117" s="93"/>
      <c r="E117" s="91"/>
      <c r="F117" s="39"/>
      <c r="H117" s="44"/>
      <c r="I117" s="45"/>
    </row>
    <row r="118" spans="1:9" ht="12.75">
      <c r="A118" s="95"/>
      <c r="B118" s="96" t="s">
        <v>117</v>
      </c>
      <c r="C118" s="90"/>
      <c r="D118" s="93"/>
      <c r="E118" s="91"/>
      <c r="F118" s="39"/>
      <c r="H118" s="44"/>
      <c r="I118" s="45"/>
    </row>
    <row r="119" spans="1:9" ht="12.75">
      <c r="A119" s="20"/>
      <c r="B119" s="89" t="s">
        <v>118</v>
      </c>
      <c r="C119" s="173">
        <v>0.15</v>
      </c>
      <c r="D119" s="93" t="s">
        <v>119</v>
      </c>
      <c r="E119" s="91"/>
      <c r="F119" s="39"/>
      <c r="H119" s="44"/>
      <c r="I119" s="45"/>
    </row>
    <row r="120" spans="1:9" ht="12.75">
      <c r="A120" s="20"/>
      <c r="B120" s="89" t="s">
        <v>120</v>
      </c>
      <c r="C120" s="98">
        <f>C15</f>
        <v>300</v>
      </c>
      <c r="D120" s="93" t="s">
        <v>4</v>
      </c>
      <c r="E120" s="91"/>
      <c r="F120" s="39"/>
      <c r="H120" s="44"/>
      <c r="I120" s="45"/>
    </row>
    <row r="121" spans="1:9" ht="12.75">
      <c r="A121" s="20"/>
      <c r="B121" s="89" t="s">
        <v>121</v>
      </c>
      <c r="C121" s="90">
        <f>+C119*C120</f>
        <v>45</v>
      </c>
      <c r="D121" s="93" t="s">
        <v>4</v>
      </c>
      <c r="E121" s="91"/>
      <c r="F121" s="39"/>
      <c r="H121" s="44"/>
      <c r="I121" s="45"/>
    </row>
    <row r="122" spans="1:9" ht="12.75">
      <c r="A122" s="20"/>
      <c r="B122" s="89" t="s">
        <v>46</v>
      </c>
      <c r="C122" s="97">
        <f>+C121*C106/1000</f>
        <v>2531.25</v>
      </c>
      <c r="D122" s="93" t="s">
        <v>47</v>
      </c>
      <c r="E122" s="91"/>
      <c r="F122" s="39"/>
      <c r="H122" s="44"/>
      <c r="I122" s="45"/>
    </row>
    <row r="123" spans="1:9" ht="12.75">
      <c r="A123" s="20"/>
      <c r="B123" s="89" t="s">
        <v>122</v>
      </c>
      <c r="C123" s="172">
        <v>2</v>
      </c>
      <c r="D123" s="93" t="s">
        <v>123</v>
      </c>
      <c r="E123" s="155"/>
      <c r="F123" s="39"/>
      <c r="H123" s="44"/>
      <c r="I123" s="45"/>
    </row>
    <row r="124" spans="1:9" ht="12.75">
      <c r="A124" s="20"/>
      <c r="B124" s="89" t="s">
        <v>124</v>
      </c>
      <c r="C124" s="97">
        <f>+C122*C123</f>
        <v>5062.5</v>
      </c>
      <c r="D124" s="93" t="s">
        <v>47</v>
      </c>
      <c r="E124" s="91"/>
      <c r="F124" s="39"/>
      <c r="H124" s="44"/>
      <c r="I124" s="45"/>
    </row>
    <row r="125" spans="1:9" ht="12.75">
      <c r="A125" s="20"/>
      <c r="B125" s="89"/>
      <c r="C125" s="98">
        <f>+C124/24</f>
        <v>210.9375</v>
      </c>
      <c r="D125" s="93" t="s">
        <v>50</v>
      </c>
      <c r="E125" s="91"/>
      <c r="F125" s="39"/>
      <c r="H125" s="44"/>
      <c r="I125" s="45"/>
    </row>
    <row r="126" spans="1:9" ht="12.75">
      <c r="A126" s="20"/>
      <c r="B126" s="47" t="s">
        <v>301</v>
      </c>
      <c r="C126" s="156">
        <f>+C125/(0.6*0.7*1.2*0.21*0.15)</f>
        <v>13286.564625850338</v>
      </c>
      <c r="D126" s="37" t="s">
        <v>125</v>
      </c>
      <c r="E126" s="155"/>
      <c r="F126" s="39"/>
      <c r="H126" s="44"/>
      <c r="I126" s="45"/>
    </row>
    <row r="127" spans="1:9" ht="12.75">
      <c r="A127" s="20"/>
      <c r="B127" s="47"/>
      <c r="C127" s="55"/>
      <c r="D127" s="37"/>
      <c r="E127" s="91"/>
      <c r="F127" s="39"/>
      <c r="H127" s="44"/>
      <c r="I127" s="45"/>
    </row>
    <row r="128" spans="1:9" ht="12.75">
      <c r="A128" s="20"/>
      <c r="B128" s="47" t="s">
        <v>126</v>
      </c>
      <c r="C128" s="55">
        <f>+CEILING(C126,10)</f>
        <v>13290</v>
      </c>
      <c r="D128" s="37" t="s">
        <v>127</v>
      </c>
      <c r="E128" s="91"/>
      <c r="F128" s="39"/>
      <c r="H128" s="44"/>
      <c r="I128" s="45"/>
    </row>
    <row r="129" spans="1:5" ht="12.75">
      <c r="A129" s="25"/>
      <c r="B129" s="47"/>
      <c r="C129" s="55"/>
      <c r="D129" s="37"/>
      <c r="E129" s="24"/>
    </row>
    <row r="130" spans="1:5" ht="12.75">
      <c r="A130" s="28">
        <v>6</v>
      </c>
      <c r="B130" s="19" t="s">
        <v>128</v>
      </c>
      <c r="C130" s="19"/>
      <c r="D130" s="19"/>
      <c r="E130" s="19"/>
    </row>
    <row r="131" spans="1:5" ht="12.75">
      <c r="A131" s="99"/>
      <c r="B131" s="21" t="s">
        <v>291</v>
      </c>
      <c r="C131" s="27"/>
      <c r="D131" s="23"/>
      <c r="E131" s="24"/>
    </row>
    <row r="132" spans="1:5" ht="12.75">
      <c r="A132" s="99"/>
      <c r="B132" s="21" t="s">
        <v>129</v>
      </c>
      <c r="C132" s="27"/>
      <c r="D132" s="23"/>
      <c r="E132" s="24"/>
    </row>
    <row r="133" spans="1:5" ht="12.75">
      <c r="A133" s="99"/>
      <c r="B133" s="21" t="s">
        <v>130</v>
      </c>
      <c r="C133" s="27">
        <f>C8</f>
        <v>25000</v>
      </c>
      <c r="D133" s="23" t="s">
        <v>55</v>
      </c>
      <c r="E133" s="24"/>
    </row>
    <row r="134" spans="1:5" ht="12.75">
      <c r="A134" s="99"/>
      <c r="B134" s="26" t="s">
        <v>131</v>
      </c>
      <c r="C134" s="174">
        <v>20</v>
      </c>
      <c r="D134" s="23" t="s">
        <v>132</v>
      </c>
      <c r="E134" s="150"/>
    </row>
    <row r="135" spans="1:5" ht="12.75">
      <c r="A135" s="99"/>
      <c r="B135" s="21" t="s">
        <v>133</v>
      </c>
      <c r="C135" s="27">
        <f>+C133/C134</f>
        <v>1250</v>
      </c>
      <c r="D135" s="23" t="s">
        <v>125</v>
      </c>
      <c r="E135" s="24"/>
    </row>
    <row r="136" spans="1:5" ht="26.25" customHeight="1">
      <c r="A136" s="99"/>
      <c r="B136" s="100" t="s">
        <v>312</v>
      </c>
      <c r="C136" s="157">
        <f>+C135/2</f>
        <v>625</v>
      </c>
      <c r="D136" s="102" t="s">
        <v>134</v>
      </c>
      <c r="E136" s="24"/>
    </row>
    <row r="137" spans="1:5" ht="12.75">
      <c r="A137" s="99"/>
      <c r="B137" s="21"/>
      <c r="C137" s="27">
        <f>+(C136/3600)*1000</f>
        <v>173.61111111111111</v>
      </c>
      <c r="D137" s="23" t="s">
        <v>135</v>
      </c>
      <c r="E137" s="24"/>
    </row>
    <row r="138" spans="1:5" ht="12.75">
      <c r="A138" s="99"/>
      <c r="B138" s="100" t="s">
        <v>136</v>
      </c>
      <c r="C138" s="169">
        <v>14</v>
      </c>
      <c r="D138" s="102" t="s">
        <v>11</v>
      </c>
      <c r="E138" s="24"/>
    </row>
    <row r="139" spans="1:5" ht="12.75">
      <c r="A139" s="99"/>
      <c r="B139" s="26" t="s">
        <v>137</v>
      </c>
      <c r="C139" s="27">
        <f>+CEILING((C137*C138)/(75*0.5),0.5)</f>
        <v>65</v>
      </c>
      <c r="D139" s="23" t="s">
        <v>138</v>
      </c>
      <c r="E139" s="24"/>
    </row>
    <row r="140" spans="1:5" ht="12.75">
      <c r="A140" s="25"/>
      <c r="B140" s="26"/>
      <c r="C140" s="27"/>
      <c r="D140" s="23"/>
      <c r="E140" s="24"/>
    </row>
    <row r="141" spans="1:5" ht="12.75">
      <c r="A141" s="28"/>
      <c r="B141" s="19"/>
      <c r="C141" s="103"/>
      <c r="D141" s="103"/>
      <c r="E141" s="104"/>
    </row>
    <row r="142" spans="1:5" ht="12.75">
      <c r="A142" s="25"/>
      <c r="B142" s="105"/>
      <c r="C142" s="27"/>
      <c r="D142" s="23"/>
      <c r="E142" s="24"/>
    </row>
    <row r="143" spans="1:5" ht="12.75">
      <c r="A143" s="25"/>
      <c r="B143" s="26"/>
      <c r="C143" s="27"/>
      <c r="D143" s="23"/>
      <c r="E143" s="24"/>
    </row>
    <row r="144" spans="1:5" ht="12.75">
      <c r="A144" s="28">
        <v>7</v>
      </c>
      <c r="B144" s="19" t="s">
        <v>139</v>
      </c>
      <c r="C144" s="103"/>
      <c r="D144" s="19"/>
      <c r="E144" s="19"/>
    </row>
    <row r="145" spans="1:5" ht="12.75">
      <c r="A145" s="25"/>
      <c r="B145" s="26" t="s">
        <v>140</v>
      </c>
      <c r="C145" s="175">
        <v>2</v>
      </c>
      <c r="D145" s="71"/>
      <c r="E145" s="24"/>
    </row>
    <row r="146" spans="1:5" ht="12.75">
      <c r="A146" s="99"/>
      <c r="B146" s="21" t="s">
        <v>141</v>
      </c>
      <c r="C146" s="27"/>
      <c r="D146" s="23"/>
      <c r="E146" s="24"/>
    </row>
    <row r="147" spans="1:5" ht="12.75">
      <c r="A147" s="99"/>
      <c r="B147" s="21" t="s">
        <v>313</v>
      </c>
      <c r="C147" s="149">
        <f>C8/2</f>
        <v>12500</v>
      </c>
      <c r="D147" s="23" t="s">
        <v>40</v>
      </c>
      <c r="E147" s="150"/>
    </row>
    <row r="148" spans="1:5" ht="12.75">
      <c r="A148" s="99"/>
      <c r="B148" s="26" t="s">
        <v>62</v>
      </c>
      <c r="C148" s="27">
        <f>+C120-C121</f>
        <v>255</v>
      </c>
      <c r="D148" s="23" t="s">
        <v>61</v>
      </c>
      <c r="E148" s="24"/>
    </row>
    <row r="149" spans="1:5" ht="12.75">
      <c r="A149" s="99"/>
      <c r="B149" s="21" t="s">
        <v>333</v>
      </c>
      <c r="C149" s="165">
        <v>2500</v>
      </c>
      <c r="D149" s="23"/>
      <c r="E149" s="24"/>
    </row>
    <row r="150" spans="1:5" ht="12.75">
      <c r="A150" s="99"/>
      <c r="B150" s="21" t="s">
        <v>142</v>
      </c>
      <c r="C150" s="27"/>
      <c r="D150" s="23"/>
      <c r="E150" s="24"/>
    </row>
    <row r="151" spans="1:5" ht="12.75">
      <c r="A151" s="99"/>
      <c r="B151" s="21" t="s">
        <v>143</v>
      </c>
      <c r="C151" s="165">
        <v>2</v>
      </c>
      <c r="D151" s="23"/>
      <c r="E151" s="106" t="s">
        <v>144</v>
      </c>
    </row>
    <row r="152" spans="1:5" ht="12.75">
      <c r="A152" s="99"/>
      <c r="B152" s="21" t="s">
        <v>145</v>
      </c>
      <c r="C152" s="165">
        <v>0.12</v>
      </c>
      <c r="D152" s="23"/>
      <c r="E152" s="24"/>
    </row>
    <row r="153" spans="1:5" ht="12.75">
      <c r="A153" s="99"/>
      <c r="B153" s="21" t="s">
        <v>48</v>
      </c>
      <c r="C153" s="27">
        <f>+C147*C148/(C152*C149)</f>
        <v>10625</v>
      </c>
      <c r="D153" s="23" t="s">
        <v>68</v>
      </c>
      <c r="E153" s="24" t="s">
        <v>298</v>
      </c>
    </row>
    <row r="154" spans="1:5" ht="12.75">
      <c r="A154" s="99"/>
      <c r="B154" s="21" t="s">
        <v>146</v>
      </c>
      <c r="C154" s="27">
        <f>0.25*C153</f>
        <v>2656.25</v>
      </c>
      <c r="D154" s="23" t="s">
        <v>68</v>
      </c>
      <c r="E154" s="24"/>
    </row>
    <row r="155" spans="1:5" ht="12.75">
      <c r="A155" s="99"/>
      <c r="B155" s="21" t="s">
        <v>299</v>
      </c>
      <c r="C155" s="27">
        <f>+SUM(C153:C154)</f>
        <v>13281.25</v>
      </c>
      <c r="D155" s="23" t="s">
        <v>68</v>
      </c>
      <c r="E155" s="24"/>
    </row>
    <row r="156" spans="1:5" ht="12.75">
      <c r="A156" s="99"/>
      <c r="B156" s="26" t="s">
        <v>147</v>
      </c>
      <c r="C156" s="149">
        <f>C155/12500</f>
        <v>1.0625</v>
      </c>
      <c r="D156" s="23" t="s">
        <v>148</v>
      </c>
      <c r="E156" s="150"/>
    </row>
    <row r="157" spans="1:5" ht="12.75">
      <c r="A157" s="99"/>
      <c r="B157" s="21"/>
      <c r="C157" s="27"/>
      <c r="D157" s="23"/>
      <c r="E157" s="24"/>
    </row>
    <row r="158" spans="1:5" ht="12.75">
      <c r="A158" s="99"/>
      <c r="B158" s="21" t="s">
        <v>149</v>
      </c>
      <c r="C158" s="165">
        <v>4</v>
      </c>
      <c r="D158" s="23" t="s">
        <v>11</v>
      </c>
      <c r="E158" s="24"/>
    </row>
    <row r="159" spans="1:5" ht="12.75">
      <c r="A159" s="99"/>
      <c r="B159" s="21" t="s">
        <v>150</v>
      </c>
      <c r="C159" s="27">
        <f>+C155/C158</f>
        <v>3320.3125</v>
      </c>
      <c r="D159" s="23" t="s">
        <v>71</v>
      </c>
      <c r="E159" s="24"/>
    </row>
    <row r="160" spans="1:5" ht="12.75">
      <c r="A160" s="99"/>
      <c r="B160" s="21"/>
      <c r="C160" s="27"/>
      <c r="D160" s="23"/>
      <c r="E160" s="24"/>
    </row>
    <row r="161" spans="1:5" ht="12.75">
      <c r="A161" s="99"/>
      <c r="B161" s="21" t="s">
        <v>151</v>
      </c>
      <c r="C161" s="27">
        <f>C159</f>
        <v>3320.3125</v>
      </c>
      <c r="D161" s="23" t="s">
        <v>71</v>
      </c>
      <c r="E161" s="107"/>
    </row>
    <row r="162" spans="1:5" ht="12.75">
      <c r="A162" s="99"/>
      <c r="B162" s="26" t="s">
        <v>152</v>
      </c>
      <c r="C162" s="165">
        <v>1</v>
      </c>
      <c r="D162" s="23"/>
      <c r="E162" s="24"/>
    </row>
    <row r="163" spans="1:5" ht="12.75">
      <c r="A163" s="99"/>
      <c r="B163" s="21" t="s">
        <v>153</v>
      </c>
      <c r="C163" s="108">
        <f>+CEILING(SQRT((C161/C162)),0.1)</f>
        <v>57.7</v>
      </c>
      <c r="D163" s="23" t="s">
        <v>11</v>
      </c>
      <c r="E163" s="24"/>
    </row>
    <row r="164" spans="1:5" ht="12.75">
      <c r="A164" s="99"/>
      <c r="B164" s="21" t="s">
        <v>154</v>
      </c>
      <c r="C164" s="108">
        <f>+CEILING(C161/C163,0.1)</f>
        <v>57.6</v>
      </c>
      <c r="D164" s="23" t="s">
        <v>11</v>
      </c>
      <c r="E164" s="24"/>
    </row>
    <row r="165" spans="1:5" ht="12.75">
      <c r="A165" s="29"/>
      <c r="B165" s="181" t="str">
        <f>CONCATENATE("Provide the Dimension of ",B144," as ",C164," m x ",C163," m x ",C158," m SWD"," + 0.5 m Freeboard")</f>
        <v>Provide the Dimension of Aeration tank as 57.6 m x 57.7 m x 4 m SWD + 0.5 m Freeboard</v>
      </c>
      <c r="C165" s="182"/>
      <c r="D165" s="182"/>
      <c r="E165" s="183"/>
    </row>
    <row r="166" spans="1:5" ht="12.75">
      <c r="A166" s="25"/>
      <c r="B166" s="21"/>
      <c r="C166" s="27"/>
      <c r="D166" s="23"/>
      <c r="E166" s="24"/>
    </row>
    <row r="167" spans="1:5" ht="12.75">
      <c r="A167" s="28">
        <v>8</v>
      </c>
      <c r="B167" s="19" t="s">
        <v>155</v>
      </c>
      <c r="C167" s="103"/>
      <c r="D167" s="103"/>
      <c r="E167" s="104"/>
    </row>
    <row r="168" spans="1:5" ht="12.75">
      <c r="A168" s="99"/>
      <c r="B168" s="21" t="s">
        <v>156</v>
      </c>
      <c r="C168" s="149">
        <f>+C147*C148/1000</f>
        <v>3187.5</v>
      </c>
      <c r="D168" s="23" t="s">
        <v>47</v>
      </c>
      <c r="E168" s="24"/>
    </row>
    <row r="169" spans="1:5" ht="12.75">
      <c r="A169" s="99"/>
      <c r="B169" s="21"/>
      <c r="C169" s="27">
        <f>+C168/24</f>
        <v>132.8125</v>
      </c>
      <c r="D169" s="23" t="s">
        <v>50</v>
      </c>
      <c r="E169" s="24"/>
    </row>
    <row r="170" spans="1:5" ht="12.75">
      <c r="A170" s="99"/>
      <c r="B170" s="21" t="s">
        <v>157</v>
      </c>
      <c r="C170" s="165">
        <v>2</v>
      </c>
      <c r="D170" s="23" t="s">
        <v>158</v>
      </c>
      <c r="E170" s="150"/>
    </row>
    <row r="171" spans="1:5" ht="12.75">
      <c r="A171" s="99"/>
      <c r="B171" s="21" t="s">
        <v>159</v>
      </c>
      <c r="C171" s="27">
        <f>+C169*C170</f>
        <v>265.625</v>
      </c>
      <c r="D171" s="23" t="s">
        <v>50</v>
      </c>
      <c r="E171" s="24"/>
    </row>
    <row r="172" spans="1:5" ht="12.75">
      <c r="A172" s="99"/>
      <c r="B172" s="100" t="s">
        <v>160</v>
      </c>
      <c r="C172" s="101">
        <f>+C171/(0.6*0.7*1.2*0.21*0.2)</f>
        <v>12548.42214663643</v>
      </c>
      <c r="D172" s="102" t="s">
        <v>127</v>
      </c>
      <c r="E172" s="24"/>
    </row>
    <row r="173" spans="1:5" ht="12.75">
      <c r="A173" s="99"/>
      <c r="B173" s="21"/>
      <c r="C173" s="27"/>
      <c r="D173" s="23"/>
      <c r="E173" s="24"/>
    </row>
    <row r="174" spans="1:5" ht="12.75">
      <c r="A174" s="99"/>
      <c r="B174" s="63" t="s">
        <v>300</v>
      </c>
      <c r="C174" s="101">
        <f>+CEILING((C172+C126),0.5)</f>
        <v>25835</v>
      </c>
      <c r="D174" s="102" t="s">
        <v>125</v>
      </c>
      <c r="E174" s="24"/>
    </row>
    <row r="175" spans="1:5" ht="12.75">
      <c r="A175" s="99"/>
      <c r="B175" s="26"/>
      <c r="C175" s="27"/>
      <c r="D175" s="23"/>
      <c r="E175" s="24"/>
    </row>
    <row r="176" spans="1:5" ht="12.75">
      <c r="A176" s="99"/>
      <c r="B176" s="26" t="s">
        <v>161</v>
      </c>
      <c r="C176" s="165">
        <v>10</v>
      </c>
      <c r="D176" s="23" t="s">
        <v>127</v>
      </c>
      <c r="E176" s="24"/>
    </row>
    <row r="177" spans="1:5" ht="12.75">
      <c r="A177" s="99"/>
      <c r="B177" s="26"/>
      <c r="C177" s="27"/>
      <c r="D177" s="23"/>
      <c r="E177" s="24"/>
    </row>
    <row r="178" spans="1:5" ht="12.75">
      <c r="A178" s="99"/>
      <c r="B178" s="63" t="s">
        <v>162</v>
      </c>
      <c r="C178" s="109">
        <f>+C174/C176</f>
        <v>2583.5</v>
      </c>
      <c r="D178" s="23" t="s">
        <v>163</v>
      </c>
      <c r="E178" s="24"/>
    </row>
    <row r="179" spans="1:5" ht="12.75">
      <c r="A179" s="99"/>
      <c r="B179" s="21"/>
      <c r="C179" s="27"/>
      <c r="D179" s="23"/>
      <c r="E179" s="24"/>
    </row>
    <row r="180" spans="1:5" ht="12.75">
      <c r="A180" s="99"/>
      <c r="B180" s="63" t="s">
        <v>302</v>
      </c>
      <c r="C180" s="64">
        <f>+C174</f>
        <v>25835</v>
      </c>
      <c r="D180" s="14" t="s">
        <v>127</v>
      </c>
      <c r="E180" s="24" t="s">
        <v>164</v>
      </c>
    </row>
    <row r="181" spans="1:5" ht="12.75">
      <c r="A181" s="99"/>
      <c r="B181" s="26"/>
      <c r="C181" s="59"/>
      <c r="D181" s="18"/>
      <c r="E181" s="24"/>
    </row>
    <row r="182" spans="1:5" ht="12.75">
      <c r="A182" s="99"/>
      <c r="B182" s="110" t="s">
        <v>165</v>
      </c>
      <c r="C182" s="165">
        <v>100</v>
      </c>
      <c r="D182" s="23"/>
      <c r="E182" s="150" t="s">
        <v>303</v>
      </c>
    </row>
    <row r="183" spans="1:5" ht="12.75">
      <c r="A183" s="99"/>
      <c r="B183" s="21" t="s">
        <v>166</v>
      </c>
      <c r="C183" s="27">
        <f>C149/((10^6/C182)-C149)</f>
        <v>0.3333333333333333</v>
      </c>
      <c r="D183" s="71"/>
      <c r="E183" s="150" t="s">
        <v>304</v>
      </c>
    </row>
    <row r="184" spans="1:5" ht="12.75">
      <c r="A184" s="99"/>
      <c r="B184" s="21" t="s">
        <v>167</v>
      </c>
      <c r="C184" s="27">
        <f>C147*C148/C155/1000</f>
        <v>0.24</v>
      </c>
      <c r="D184" s="71" t="s">
        <v>168</v>
      </c>
      <c r="E184" s="24"/>
    </row>
    <row r="185" spans="1:5" ht="14.25">
      <c r="A185" s="99"/>
      <c r="B185" s="111" t="s">
        <v>169</v>
      </c>
      <c r="C185" s="27">
        <f>+C149*C153</f>
        <v>26562500</v>
      </c>
      <c r="D185" s="23"/>
      <c r="E185" s="24"/>
    </row>
    <row r="186" spans="1:5" ht="20.25">
      <c r="A186" s="99"/>
      <c r="B186" s="112" t="s">
        <v>305</v>
      </c>
      <c r="C186" s="27">
        <f>1*C147*(C148-20)</f>
        <v>2937500</v>
      </c>
      <c r="D186" s="23"/>
      <c r="E186" s="24" t="s">
        <v>306</v>
      </c>
    </row>
    <row r="187" spans="1:5" ht="12.75">
      <c r="A187" s="99"/>
      <c r="B187" s="113"/>
      <c r="C187" s="27">
        <f>+C186/C185</f>
        <v>0.11058823529411765</v>
      </c>
      <c r="D187" s="23"/>
      <c r="E187" s="24"/>
    </row>
    <row r="188" spans="1:5" ht="12.75">
      <c r="A188" s="99"/>
      <c r="B188" s="110"/>
      <c r="C188" s="149">
        <f>+C187-0.06</f>
        <v>0.050588235294117656</v>
      </c>
      <c r="D188" s="23"/>
      <c r="E188" s="150"/>
    </row>
    <row r="189" spans="1:5" ht="12.75">
      <c r="A189" s="99"/>
      <c r="B189" s="110" t="s">
        <v>170</v>
      </c>
      <c r="C189" s="27">
        <f>1/C188</f>
        <v>19.767441860465112</v>
      </c>
      <c r="D189" s="23" t="s">
        <v>49</v>
      </c>
      <c r="E189" s="24"/>
    </row>
    <row r="190" spans="1:5" ht="12.75">
      <c r="A190" s="99"/>
      <c r="B190" s="110"/>
      <c r="C190" s="27"/>
      <c r="D190" s="23"/>
      <c r="E190" s="24"/>
    </row>
    <row r="191" spans="1:5" ht="12.75">
      <c r="A191" s="99"/>
      <c r="B191" s="110" t="s">
        <v>171</v>
      </c>
      <c r="C191" s="165">
        <v>95</v>
      </c>
      <c r="D191" s="23" t="s">
        <v>37</v>
      </c>
      <c r="E191" s="24"/>
    </row>
    <row r="192" spans="1:5" ht="12.75">
      <c r="A192" s="99"/>
      <c r="B192" s="110"/>
      <c r="C192" s="27"/>
      <c r="D192" s="23"/>
      <c r="E192" s="24"/>
    </row>
    <row r="193" spans="1:5" ht="12.75">
      <c r="A193" s="99"/>
      <c r="B193" s="110" t="s">
        <v>172</v>
      </c>
      <c r="C193" s="27">
        <f>+C148-(C191%*C148)</f>
        <v>12.75</v>
      </c>
      <c r="D193" s="23" t="s">
        <v>4</v>
      </c>
      <c r="E193" s="24"/>
    </row>
    <row r="194" spans="1:5" ht="12.75">
      <c r="A194" s="25"/>
      <c r="B194" s="110"/>
      <c r="C194" s="27"/>
      <c r="D194" s="23"/>
      <c r="E194" s="24"/>
    </row>
    <row r="195" spans="1:5" ht="12.75">
      <c r="A195" s="28">
        <v>9</v>
      </c>
      <c r="B195" s="19" t="s">
        <v>173</v>
      </c>
      <c r="C195" s="103"/>
      <c r="D195" s="103"/>
      <c r="E195" s="104"/>
    </row>
    <row r="196" spans="1:5" ht="12.75">
      <c r="A196" s="25"/>
      <c r="B196" s="21" t="s">
        <v>174</v>
      </c>
      <c r="C196" s="168">
        <v>2</v>
      </c>
      <c r="D196" s="71"/>
      <c r="E196" s="24"/>
    </row>
    <row r="197" spans="1:5" ht="12.75">
      <c r="A197" s="25"/>
      <c r="B197" s="21" t="s">
        <v>175</v>
      </c>
      <c r="C197" s="27">
        <f>C8/2</f>
        <v>12500</v>
      </c>
      <c r="D197" s="23" t="s">
        <v>40</v>
      </c>
      <c r="E197" s="24"/>
    </row>
    <row r="198" spans="1:5" ht="25.5">
      <c r="A198" s="25"/>
      <c r="B198" s="21" t="s">
        <v>176</v>
      </c>
      <c r="C198" s="165">
        <v>25</v>
      </c>
      <c r="D198" s="71" t="s">
        <v>177</v>
      </c>
      <c r="E198" s="148" t="s">
        <v>307</v>
      </c>
    </row>
    <row r="199" spans="1:5" ht="38.25">
      <c r="A199" s="25"/>
      <c r="B199" s="21" t="s">
        <v>178</v>
      </c>
      <c r="C199" s="165">
        <v>2</v>
      </c>
      <c r="D199" s="71" t="s">
        <v>11</v>
      </c>
      <c r="E199" s="148" t="s">
        <v>308</v>
      </c>
    </row>
    <row r="200" spans="1:5" ht="12.75">
      <c r="A200" s="25"/>
      <c r="B200" s="21" t="s">
        <v>179</v>
      </c>
      <c r="C200" s="27" t="s">
        <v>180</v>
      </c>
      <c r="D200" s="71" t="s">
        <v>37</v>
      </c>
      <c r="E200" s="150"/>
    </row>
    <row r="201" spans="1:5" ht="12.75">
      <c r="A201" s="25"/>
      <c r="B201" s="21" t="s">
        <v>181</v>
      </c>
      <c r="C201" s="27"/>
      <c r="D201" s="71"/>
      <c r="E201" s="24"/>
    </row>
    <row r="202" spans="1:5" ht="12.75">
      <c r="A202" s="25"/>
      <c r="B202" s="26" t="s">
        <v>182</v>
      </c>
      <c r="C202" s="27">
        <f>C197/C198</f>
        <v>500</v>
      </c>
      <c r="D202" s="114" t="s">
        <v>71</v>
      </c>
      <c r="E202" s="24"/>
    </row>
    <row r="203" spans="1:5" ht="12.75">
      <c r="A203" s="25"/>
      <c r="B203" s="26" t="s">
        <v>183</v>
      </c>
      <c r="C203" s="27">
        <f>SQRT(C202*4/PI())</f>
        <v>25.2313252202016</v>
      </c>
      <c r="D203" s="114" t="s">
        <v>11</v>
      </c>
      <c r="E203" s="24"/>
    </row>
    <row r="204" spans="1:5" ht="12.75">
      <c r="A204" s="25"/>
      <c r="B204" s="21" t="s">
        <v>184</v>
      </c>
      <c r="C204" s="165">
        <v>3.1</v>
      </c>
      <c r="D204" s="114" t="s">
        <v>132</v>
      </c>
      <c r="E204" s="148" t="s">
        <v>309</v>
      </c>
    </row>
    <row r="205" spans="1:5" ht="12.75">
      <c r="A205" s="25"/>
      <c r="B205" s="21"/>
      <c r="C205" s="27">
        <f>+(C197/24)*C204</f>
        <v>1614.5833333333335</v>
      </c>
      <c r="D205" s="114" t="s">
        <v>68</v>
      </c>
      <c r="E205" s="24"/>
    </row>
    <row r="206" spans="1:5" ht="12.75">
      <c r="A206" s="25"/>
      <c r="B206" s="21" t="s">
        <v>185</v>
      </c>
      <c r="C206" s="165">
        <v>2.5</v>
      </c>
      <c r="D206" s="114" t="s">
        <v>11</v>
      </c>
      <c r="E206" s="150"/>
    </row>
    <row r="207" spans="1:5" ht="12.75">
      <c r="A207" s="25"/>
      <c r="B207" s="21" t="s">
        <v>186</v>
      </c>
      <c r="C207" s="149">
        <f>+C205/C206</f>
        <v>645.8333333333334</v>
      </c>
      <c r="D207" s="114" t="s">
        <v>71</v>
      </c>
      <c r="E207" s="150"/>
    </row>
    <row r="208" spans="1:5" ht="12.75">
      <c r="A208" s="25"/>
      <c r="B208" s="26" t="s">
        <v>187</v>
      </c>
      <c r="C208" s="149">
        <f>+CEILING(SQRT(C207*4/PI()),0.1)</f>
        <v>28.700000000000003</v>
      </c>
      <c r="D208" s="114" t="s">
        <v>11</v>
      </c>
      <c r="E208" s="24" t="s">
        <v>188</v>
      </c>
    </row>
    <row r="209" spans="1:5" ht="12.75">
      <c r="A209" s="25"/>
      <c r="B209" s="26" t="s">
        <v>189</v>
      </c>
      <c r="C209" s="27">
        <f>+C197/C207</f>
        <v>19.35483870967742</v>
      </c>
      <c r="D209" s="114" t="s">
        <v>190</v>
      </c>
      <c r="E209" s="24"/>
    </row>
    <row r="210" spans="1:5" ht="12.75">
      <c r="A210" s="25"/>
      <c r="B210" s="21"/>
      <c r="C210" s="27"/>
      <c r="D210" s="71"/>
      <c r="E210" s="115"/>
    </row>
    <row r="211" spans="1:5" ht="12.75">
      <c r="A211" s="25"/>
      <c r="B211" s="181" t="str">
        <f>CONCATENATE("Provide the Dimension of ",B195," as ",C208," m diamtre x ",C206," m SWD"," + 0.5 m Freeboard")</f>
        <v>Provide the Dimension of Secondary clarifier as 28.7 m diamtre x 2.5 m SWD + 0.5 m Freeboard</v>
      </c>
      <c r="C211" s="182"/>
      <c r="D211" s="182"/>
      <c r="E211" s="183"/>
    </row>
    <row r="212" spans="1:5" ht="12.75">
      <c r="A212" s="25"/>
      <c r="B212" s="21"/>
      <c r="C212" s="27"/>
      <c r="D212" s="71"/>
      <c r="E212" s="24"/>
    </row>
    <row r="213" spans="1:5" ht="12.75">
      <c r="A213" s="25"/>
      <c r="B213" s="21" t="s">
        <v>191</v>
      </c>
      <c r="C213" s="165">
        <v>20</v>
      </c>
      <c r="D213" s="71" t="s">
        <v>37</v>
      </c>
      <c r="E213" s="24"/>
    </row>
    <row r="214" spans="1:5" ht="12.75">
      <c r="A214" s="25"/>
      <c r="B214" s="21"/>
      <c r="C214" s="27"/>
      <c r="D214" s="71"/>
      <c r="E214" s="24"/>
    </row>
    <row r="215" spans="1:5" ht="12.75">
      <c r="A215" s="25"/>
      <c r="B215" s="26" t="s">
        <v>192</v>
      </c>
      <c r="C215" s="59">
        <f>+C193-C213%*C193</f>
        <v>10.2</v>
      </c>
      <c r="D215" s="114" t="s">
        <v>4</v>
      </c>
      <c r="E215" s="24"/>
    </row>
    <row r="216" spans="1:5" ht="12.75">
      <c r="A216" s="116"/>
      <c r="B216" s="21"/>
      <c r="C216" s="27"/>
      <c r="D216" s="71"/>
      <c r="E216" s="24"/>
    </row>
    <row r="217" spans="1:5" ht="12.75">
      <c r="A217" s="28">
        <v>10</v>
      </c>
      <c r="B217" s="19" t="s">
        <v>193</v>
      </c>
      <c r="C217" s="103"/>
      <c r="D217" s="103"/>
      <c r="E217" s="104"/>
    </row>
    <row r="218" spans="1:5" ht="12.75">
      <c r="A218" s="25"/>
      <c r="B218" s="21" t="s">
        <v>194</v>
      </c>
      <c r="C218" s="27"/>
      <c r="D218" s="71"/>
      <c r="E218" s="24"/>
    </row>
    <row r="219" spans="1:5" ht="12.75">
      <c r="A219" s="25"/>
      <c r="B219" s="21" t="s">
        <v>195</v>
      </c>
      <c r="C219" s="168">
        <v>4</v>
      </c>
      <c r="D219" s="71"/>
      <c r="E219" s="24" t="s">
        <v>292</v>
      </c>
    </row>
    <row r="220" spans="1:5" ht="12.75">
      <c r="A220" s="25"/>
      <c r="B220" s="21" t="s">
        <v>196</v>
      </c>
      <c r="C220" s="165">
        <v>50</v>
      </c>
      <c r="D220" s="71" t="s">
        <v>37</v>
      </c>
      <c r="E220" s="150"/>
    </row>
    <row r="221" spans="1:5" ht="12.75">
      <c r="A221" s="25"/>
      <c r="B221" s="21" t="s">
        <v>197</v>
      </c>
      <c r="C221" s="149">
        <f>+C220%*C21/2</f>
        <v>6250</v>
      </c>
      <c r="D221" s="71" t="s">
        <v>55</v>
      </c>
      <c r="E221" s="150"/>
    </row>
    <row r="222" spans="1:5" ht="12.75">
      <c r="A222" s="25"/>
      <c r="B222" s="26" t="s">
        <v>198</v>
      </c>
      <c r="C222" s="165">
        <v>20</v>
      </c>
      <c r="D222" s="71"/>
      <c r="E222" s="24"/>
    </row>
    <row r="223" spans="1:5" ht="12.75">
      <c r="A223" s="25"/>
      <c r="B223" s="21" t="s">
        <v>199</v>
      </c>
      <c r="C223" s="27">
        <f>+C221/C222</f>
        <v>312.5</v>
      </c>
      <c r="D223" s="71" t="s">
        <v>125</v>
      </c>
      <c r="E223" s="24"/>
    </row>
    <row r="224" spans="1:5" ht="12.75">
      <c r="A224" s="25"/>
      <c r="B224" s="21"/>
      <c r="C224" s="27">
        <f>+C223*0.277777777777778</f>
        <v>86.80555555555556</v>
      </c>
      <c r="D224" s="114" t="s">
        <v>135</v>
      </c>
      <c r="E224" s="24"/>
    </row>
    <row r="225" spans="1:5" ht="12.75">
      <c r="A225" s="25"/>
      <c r="B225" s="21" t="s">
        <v>136</v>
      </c>
      <c r="C225" s="165">
        <v>8</v>
      </c>
      <c r="D225" s="114" t="s">
        <v>11</v>
      </c>
      <c r="E225" s="24"/>
    </row>
    <row r="226" spans="1:5" ht="12.75">
      <c r="A226" s="25"/>
      <c r="B226" s="21" t="s">
        <v>200</v>
      </c>
      <c r="C226" s="27">
        <f>+CEILING((C224*C225)/(75*0.5),0.5)</f>
        <v>19</v>
      </c>
      <c r="D226" s="114" t="s">
        <v>201</v>
      </c>
      <c r="E226" s="24"/>
    </row>
    <row r="227" spans="1:5" ht="12.75">
      <c r="A227" s="25"/>
      <c r="B227" s="21"/>
      <c r="C227" s="27"/>
      <c r="D227" s="71"/>
      <c r="E227" s="58"/>
    </row>
    <row r="228" spans="1:5" ht="12.75">
      <c r="A228" s="28">
        <v>10</v>
      </c>
      <c r="B228" s="19" t="s">
        <v>202</v>
      </c>
      <c r="C228" s="103"/>
      <c r="D228" s="103"/>
      <c r="E228" s="104"/>
    </row>
    <row r="229" spans="1:5" ht="12.75">
      <c r="A229" s="40"/>
      <c r="B229" s="26" t="s">
        <v>203</v>
      </c>
      <c r="C229" s="165">
        <v>15</v>
      </c>
      <c r="D229" s="114" t="s">
        <v>318</v>
      </c>
      <c r="E229" s="150"/>
    </row>
    <row r="230" spans="1:5" ht="12.75">
      <c r="A230" s="40"/>
      <c r="B230" s="26" t="s">
        <v>204</v>
      </c>
      <c r="C230" s="59">
        <f>+C133</f>
        <v>25000</v>
      </c>
      <c r="D230" s="114" t="s">
        <v>55</v>
      </c>
      <c r="E230" s="150"/>
    </row>
    <row r="231" spans="1:5" ht="12.75">
      <c r="A231" s="40"/>
      <c r="B231" s="26" t="s">
        <v>48</v>
      </c>
      <c r="C231" s="59">
        <f>+(C230/24)*(C229/60)</f>
        <v>260.4166666666667</v>
      </c>
      <c r="D231" s="114" t="s">
        <v>68</v>
      </c>
      <c r="E231" s="58"/>
    </row>
    <row r="232" spans="1:5" ht="12.75">
      <c r="A232" s="40"/>
      <c r="B232" s="26" t="s">
        <v>205</v>
      </c>
      <c r="C232" s="165">
        <v>4</v>
      </c>
      <c r="D232" s="114" t="s">
        <v>11</v>
      </c>
      <c r="E232" s="58"/>
    </row>
    <row r="233" spans="1:5" ht="12.75">
      <c r="A233" s="40"/>
      <c r="B233" s="26" t="s">
        <v>150</v>
      </c>
      <c r="C233" s="59">
        <f>+C231/C232</f>
        <v>65.10416666666667</v>
      </c>
      <c r="D233" s="114" t="s">
        <v>71</v>
      </c>
      <c r="E233" s="58"/>
    </row>
    <row r="234" spans="1:5" ht="12.75">
      <c r="A234" s="40"/>
      <c r="B234" s="26" t="s">
        <v>206</v>
      </c>
      <c r="C234" s="59">
        <f>ROUND(+SQRT(C233),1)</f>
        <v>8.1</v>
      </c>
      <c r="D234" s="114" t="s">
        <v>11</v>
      </c>
      <c r="E234" s="117"/>
    </row>
    <row r="235" spans="1:5" ht="12.75">
      <c r="A235" s="40"/>
      <c r="B235" s="181" t="str">
        <f>CONCATENATE("Provide the Dimension of ",B228," as ",C234," m x ",C234," m x ",C232," m SWD"," + 0.3 m Freeboard")</f>
        <v>Provide the Dimension of Treated Sewage Sump as 8.1 m x 8.1 m x 4 m SWD + 0.3 m Freeboard</v>
      </c>
      <c r="C235" s="182"/>
      <c r="D235" s="182"/>
      <c r="E235" s="183"/>
    </row>
    <row r="236" spans="1:5" ht="12.75">
      <c r="A236" s="25"/>
      <c r="B236" s="26"/>
      <c r="C236" s="59"/>
      <c r="D236" s="114"/>
      <c r="E236" s="58"/>
    </row>
    <row r="237" spans="1:5" ht="12.75">
      <c r="A237" s="28">
        <v>11</v>
      </c>
      <c r="B237" s="19" t="s">
        <v>207</v>
      </c>
      <c r="C237" s="59"/>
      <c r="D237" s="114"/>
      <c r="E237" s="58"/>
    </row>
    <row r="238" spans="1:5" ht="12.75">
      <c r="A238" s="40"/>
      <c r="B238" s="26" t="s">
        <v>204</v>
      </c>
      <c r="C238" s="59">
        <f>+C230</f>
        <v>25000</v>
      </c>
      <c r="D238" s="114" t="s">
        <v>55</v>
      </c>
      <c r="E238" s="150"/>
    </row>
    <row r="239" spans="1:5" ht="12.75">
      <c r="A239" s="40"/>
      <c r="B239" s="26" t="s">
        <v>208</v>
      </c>
      <c r="C239" s="165">
        <v>20</v>
      </c>
      <c r="D239" s="114" t="s">
        <v>132</v>
      </c>
      <c r="E239" s="58"/>
    </row>
    <row r="240" spans="1:5" ht="12.75">
      <c r="A240" s="40"/>
      <c r="B240" s="26" t="s">
        <v>209</v>
      </c>
      <c r="C240" s="59">
        <f>+C238/C239</f>
        <v>1250</v>
      </c>
      <c r="D240" s="114" t="s">
        <v>125</v>
      </c>
      <c r="E240" s="58"/>
    </row>
    <row r="241" spans="1:5" ht="12.75">
      <c r="A241" s="40"/>
      <c r="B241" s="26" t="s">
        <v>210</v>
      </c>
      <c r="C241" s="165">
        <v>11</v>
      </c>
      <c r="D241" s="114" t="s">
        <v>211</v>
      </c>
      <c r="E241" s="150"/>
    </row>
    <row r="242" spans="1:5" ht="12.75">
      <c r="A242" s="40"/>
      <c r="B242" s="26" t="s">
        <v>212</v>
      </c>
      <c r="C242" s="59">
        <f>+C240/C241</f>
        <v>113.63636363636364</v>
      </c>
      <c r="D242" s="114" t="s">
        <v>71</v>
      </c>
      <c r="E242" s="58"/>
    </row>
    <row r="243" spans="1:7" ht="12.75">
      <c r="A243" s="40"/>
      <c r="B243" s="26" t="s">
        <v>213</v>
      </c>
      <c r="C243" s="59">
        <f>+CEILING(SQRT((C242*4/PI())),0.1)</f>
        <v>12.100000000000001</v>
      </c>
      <c r="D243" s="114" t="s">
        <v>11</v>
      </c>
      <c r="E243" s="58"/>
      <c r="G243" s="1">
        <f>2.6*2.6*2</f>
        <v>13.520000000000001</v>
      </c>
    </row>
    <row r="244" spans="1:7" ht="12.75">
      <c r="A244" s="40"/>
      <c r="B244" s="181" t="str">
        <f>CONCATENATE("Provide the Dimension of ",B237," as ",C243," m x "," Diametre with ",1.8," m Shell height ",)</f>
        <v>Provide the Dimension of Pressure Sand Filter as 12.1 m x  Diametre with 1.8 m Shell height </v>
      </c>
      <c r="C244" s="182"/>
      <c r="D244" s="182"/>
      <c r="E244" s="183"/>
      <c r="G244" s="1">
        <f>3*3*1.5</f>
        <v>13.5</v>
      </c>
    </row>
    <row r="245" spans="1:5" ht="12.75">
      <c r="A245" s="40"/>
      <c r="B245" s="26"/>
      <c r="C245" s="59"/>
      <c r="D245" s="114"/>
      <c r="E245" s="58"/>
    </row>
    <row r="246" spans="1:5" ht="12.75">
      <c r="A246" s="28">
        <v>12</v>
      </c>
      <c r="B246" s="19" t="s">
        <v>214</v>
      </c>
      <c r="C246" s="103"/>
      <c r="D246" s="103"/>
      <c r="E246" s="103"/>
    </row>
    <row r="247" spans="1:5" ht="12.75">
      <c r="A247" s="40"/>
      <c r="B247" s="63" t="s">
        <v>215</v>
      </c>
      <c r="C247" s="64">
        <f>+C240</f>
        <v>1250</v>
      </c>
      <c r="D247" s="118" t="s">
        <v>125</v>
      </c>
      <c r="E247" s="58"/>
    </row>
    <row r="248" spans="1:5" ht="12.75">
      <c r="A248" s="40"/>
      <c r="B248" s="63"/>
      <c r="C248" s="176">
        <v>15</v>
      </c>
      <c r="D248" s="118" t="s">
        <v>216</v>
      </c>
      <c r="E248" s="58"/>
    </row>
    <row r="249" spans="1:9" ht="12.75">
      <c r="A249" s="40"/>
      <c r="B249" s="26"/>
      <c r="C249" s="59"/>
      <c r="D249" s="114"/>
      <c r="E249" s="58"/>
      <c r="G249" s="10" t="s">
        <v>217</v>
      </c>
      <c r="H249" s="10"/>
      <c r="I249" s="119"/>
    </row>
    <row r="250" spans="1:12" ht="12.75">
      <c r="A250" s="40"/>
      <c r="B250" s="26" t="s">
        <v>218</v>
      </c>
      <c r="C250" s="165">
        <v>20</v>
      </c>
      <c r="D250" s="114" t="s">
        <v>37</v>
      </c>
      <c r="E250" s="58"/>
      <c r="G250" s="10" t="s">
        <v>204</v>
      </c>
      <c r="H250" s="120">
        <f>+C238</f>
        <v>25000</v>
      </c>
      <c r="I250" s="119" t="s">
        <v>55</v>
      </c>
      <c r="J250" s="188"/>
      <c r="K250" s="188"/>
      <c r="L250" s="188"/>
    </row>
    <row r="251" spans="1:9" ht="12.75">
      <c r="A251" s="40"/>
      <c r="B251" s="63" t="s">
        <v>219</v>
      </c>
      <c r="C251" s="64">
        <f>+C215-C250%*C215</f>
        <v>8.16</v>
      </c>
      <c r="D251" s="114" t="s">
        <v>4</v>
      </c>
      <c r="E251" s="58"/>
      <c r="G251" s="10" t="s">
        <v>220</v>
      </c>
      <c r="H251" s="10">
        <v>0.8</v>
      </c>
      <c r="I251" s="119" t="s">
        <v>4</v>
      </c>
    </row>
    <row r="252" spans="1:9" ht="12.75">
      <c r="A252" s="25"/>
      <c r="B252" s="26"/>
      <c r="C252" s="59"/>
      <c r="D252" s="114"/>
      <c r="E252" s="58"/>
      <c r="G252" s="10" t="s">
        <v>221</v>
      </c>
      <c r="H252" s="178">
        <v>25</v>
      </c>
      <c r="I252" s="119"/>
    </row>
    <row r="253" spans="1:9" ht="12.75">
      <c r="A253" s="28">
        <v>13</v>
      </c>
      <c r="B253" s="19" t="s">
        <v>222</v>
      </c>
      <c r="C253" s="59"/>
      <c r="D253" s="114"/>
      <c r="E253" s="58"/>
      <c r="G253" s="10" t="s">
        <v>223</v>
      </c>
      <c r="H253" s="10">
        <v>1</v>
      </c>
      <c r="I253" s="119" t="s">
        <v>224</v>
      </c>
    </row>
    <row r="254" spans="1:9" ht="12.75">
      <c r="A254" s="40"/>
      <c r="B254" s="26" t="s">
        <v>323</v>
      </c>
      <c r="C254" s="176">
        <v>3500</v>
      </c>
      <c r="D254" s="158" t="s">
        <v>322</v>
      </c>
      <c r="E254" s="58"/>
      <c r="G254" s="10" t="s">
        <v>225</v>
      </c>
      <c r="H254" s="10">
        <v>1</v>
      </c>
      <c r="I254" s="119" t="s">
        <v>37</v>
      </c>
    </row>
    <row r="255" spans="1:9" ht="12.75">
      <c r="A255" s="40"/>
      <c r="B255" s="26" t="s">
        <v>325</v>
      </c>
      <c r="C255" s="176">
        <v>1</v>
      </c>
      <c r="D255" s="158" t="s">
        <v>324</v>
      </c>
      <c r="E255" s="58"/>
      <c r="G255" s="10"/>
      <c r="H255" s="10"/>
      <c r="I255" s="119"/>
    </row>
    <row r="256" spans="1:9" ht="12.75">
      <c r="A256" s="30"/>
      <c r="B256" s="21" t="s">
        <v>319</v>
      </c>
      <c r="C256" s="71" t="s">
        <v>320</v>
      </c>
      <c r="D256" s="71" t="s">
        <v>321</v>
      </c>
      <c r="E256" s="58"/>
      <c r="G256" s="10" t="s">
        <v>226</v>
      </c>
      <c r="H256" s="121">
        <f>+H250*1000*H251*10^-6/0.25</f>
        <v>80</v>
      </c>
      <c r="I256" s="119" t="s">
        <v>227</v>
      </c>
    </row>
    <row r="257" spans="1:9" ht="12.75">
      <c r="A257" s="28">
        <v>14</v>
      </c>
      <c r="B257" s="19" t="s">
        <v>228</v>
      </c>
      <c r="C257" s="159">
        <f>600*H250/1000</f>
        <v>15000</v>
      </c>
      <c r="D257" s="103" t="s">
        <v>47</v>
      </c>
      <c r="E257" s="103"/>
      <c r="F257" s="103"/>
      <c r="G257" s="10" t="s">
        <v>229</v>
      </c>
      <c r="H257" s="10">
        <f>H256/0.01</f>
        <v>8000</v>
      </c>
      <c r="I257" s="119" t="s">
        <v>230</v>
      </c>
    </row>
    <row r="258" spans="1:9" ht="12.75">
      <c r="A258" s="40"/>
      <c r="B258" s="26"/>
      <c r="C258" s="160">
        <f>+C257*100/1.05</f>
        <v>1428571.4285714284</v>
      </c>
      <c r="D258" s="114" t="s">
        <v>55</v>
      </c>
      <c r="E258" s="58"/>
      <c r="G258" s="10" t="s">
        <v>231</v>
      </c>
      <c r="H258" s="10">
        <f>+(H250*1000)*H251/(0.25*H253*H254)</f>
        <v>80000000</v>
      </c>
      <c r="I258" s="119" t="s">
        <v>232</v>
      </c>
    </row>
    <row r="259" spans="1:9" ht="12.75">
      <c r="A259" s="40"/>
      <c r="B259" s="26"/>
      <c r="C259" s="160">
        <f>+(C258/24)*0.2</f>
        <v>11904.761904761905</v>
      </c>
      <c r="D259" s="114" t="s">
        <v>125</v>
      </c>
      <c r="E259" s="58"/>
      <c r="G259" s="10"/>
      <c r="H259" s="10">
        <f>+H258/1000</f>
        <v>80000</v>
      </c>
      <c r="I259" s="119" t="s">
        <v>233</v>
      </c>
    </row>
    <row r="260" spans="1:9" ht="12.75">
      <c r="A260" s="40"/>
      <c r="B260" s="26"/>
      <c r="C260" s="160"/>
      <c r="D260" s="114"/>
      <c r="E260" s="58"/>
      <c r="G260" s="10"/>
      <c r="H260" s="10">
        <f>+H259/24</f>
        <v>3333.3333333333335</v>
      </c>
      <c r="I260" s="119" t="s">
        <v>234</v>
      </c>
    </row>
    <row r="261" spans="1:9" ht="12.75">
      <c r="A261" s="40"/>
      <c r="B261" s="63" t="s">
        <v>235</v>
      </c>
      <c r="C261" s="160"/>
      <c r="D261" s="114"/>
      <c r="E261" s="58"/>
      <c r="G261" s="10" t="s">
        <v>12</v>
      </c>
      <c r="H261" s="10">
        <f>+H260</f>
        <v>3333.3333333333335</v>
      </c>
      <c r="I261" s="119" t="s">
        <v>234</v>
      </c>
    </row>
    <row r="262" spans="1:14" ht="12.75">
      <c r="A262" s="40"/>
      <c r="B262" s="26" t="s">
        <v>236</v>
      </c>
      <c r="C262" s="160">
        <f>+C257/0.08</f>
        <v>187500</v>
      </c>
      <c r="D262" s="114" t="s">
        <v>3</v>
      </c>
      <c r="E262" s="58"/>
      <c r="G262" s="10" t="s">
        <v>314</v>
      </c>
      <c r="H262" s="10">
        <f>H261*8/1000</f>
        <v>26.666666666666668</v>
      </c>
      <c r="I262" s="119" t="s">
        <v>10</v>
      </c>
      <c r="K262" s="180"/>
      <c r="L262" s="180"/>
      <c r="M262" s="151"/>
      <c r="N262" s="151"/>
    </row>
    <row r="263" spans="1:14" ht="12.75">
      <c r="A263" s="40"/>
      <c r="B263" s="26" t="s">
        <v>237</v>
      </c>
      <c r="C263" s="160">
        <v>0.025</v>
      </c>
      <c r="D263" s="114" t="s">
        <v>71</v>
      </c>
      <c r="E263" s="58"/>
      <c r="G263" s="10" t="s">
        <v>315</v>
      </c>
      <c r="H263" s="10">
        <f>H262/2</f>
        <v>13.333333333333334</v>
      </c>
      <c r="I263" s="119"/>
      <c r="K263" s="180"/>
      <c r="L263" s="180"/>
      <c r="M263" s="180"/>
      <c r="N263" s="180"/>
    </row>
    <row r="264" spans="1:9" ht="12.75">
      <c r="A264" s="40"/>
      <c r="B264" s="26" t="s">
        <v>238</v>
      </c>
      <c r="C264" s="122">
        <f>+C262*C263</f>
        <v>4687.5</v>
      </c>
      <c r="D264" s="114" t="s">
        <v>71</v>
      </c>
      <c r="E264" s="58">
        <f>16*16*20</f>
        <v>5120</v>
      </c>
      <c r="G264" s="10"/>
      <c r="H264" s="10"/>
      <c r="I264" s="119"/>
    </row>
    <row r="265" spans="1:9" ht="12.75" customHeight="1">
      <c r="A265" s="123"/>
      <c r="B265" s="184" t="s">
        <v>317</v>
      </c>
      <c r="C265" s="185"/>
      <c r="D265" s="185"/>
      <c r="E265" s="186"/>
      <c r="G265" s="10" t="s">
        <v>316</v>
      </c>
      <c r="H265" s="10"/>
      <c r="I265" s="119"/>
    </row>
    <row r="266" spans="1:9" ht="12.75">
      <c r="A266" s="25"/>
      <c r="B266" s="26"/>
      <c r="C266" s="122"/>
      <c r="D266" s="114"/>
      <c r="E266" s="58"/>
      <c r="G266" s="10"/>
      <c r="H266" s="10"/>
      <c r="I266" s="119"/>
    </row>
    <row r="267" spans="1:9" ht="12.75">
      <c r="A267" s="124"/>
      <c r="B267" s="63" t="s">
        <v>239</v>
      </c>
      <c r="C267" s="122"/>
      <c r="D267" s="114"/>
      <c r="E267" s="58"/>
      <c r="G267" s="10" t="s">
        <v>240</v>
      </c>
      <c r="H267" s="10">
        <v>10</v>
      </c>
      <c r="I267" s="119" t="s">
        <v>37</v>
      </c>
    </row>
    <row r="268" spans="1:9" ht="12.75">
      <c r="A268" s="40"/>
      <c r="B268" s="26"/>
      <c r="C268" s="122"/>
      <c r="D268" s="114"/>
      <c r="E268" s="58"/>
      <c r="G268" s="10" t="s">
        <v>241</v>
      </c>
      <c r="H268" s="125">
        <f>+C251-H267%*C251</f>
        <v>7.344</v>
      </c>
      <c r="I268" s="119" t="s">
        <v>242</v>
      </c>
    </row>
    <row r="269" spans="1:5" ht="12.75">
      <c r="A269" s="40"/>
      <c r="B269" s="63" t="s">
        <v>243</v>
      </c>
      <c r="C269" s="122"/>
      <c r="D269" s="114"/>
      <c r="E269" s="58"/>
    </row>
    <row r="270" spans="1:5" ht="12.75">
      <c r="A270" s="40"/>
      <c r="B270" s="26" t="s">
        <v>244</v>
      </c>
      <c r="C270" s="126">
        <f>CEILING(SQRT(((1500/(24*3600))/0.9*4/PI()))*1000,10)</f>
        <v>160</v>
      </c>
      <c r="D270" s="114" t="s">
        <v>14</v>
      </c>
      <c r="E270" s="58"/>
    </row>
    <row r="271" spans="1:5" ht="12.75">
      <c r="A271" s="40"/>
      <c r="B271" s="26" t="s">
        <v>245</v>
      </c>
      <c r="C271" s="126">
        <f>CEILING(SQRT(((1500/(24*3600))/1.5*4/PI()))*1000,5)</f>
        <v>125</v>
      </c>
      <c r="D271" s="114" t="s">
        <v>14</v>
      </c>
      <c r="E271" s="58"/>
    </row>
    <row r="272" spans="1:5" ht="12.75">
      <c r="A272" s="40"/>
      <c r="B272" s="26"/>
      <c r="C272" s="126"/>
      <c r="D272" s="114"/>
      <c r="E272" s="58"/>
    </row>
    <row r="273" spans="1:5" ht="12.75">
      <c r="A273" s="28">
        <v>15</v>
      </c>
      <c r="B273" s="19" t="s">
        <v>246</v>
      </c>
      <c r="C273" s="103"/>
      <c r="D273" s="103"/>
      <c r="E273" s="103"/>
    </row>
    <row r="274" spans="1:5" ht="12.75">
      <c r="A274" s="40"/>
      <c r="B274" s="26" t="s">
        <v>247</v>
      </c>
      <c r="C274" s="177">
        <v>100</v>
      </c>
      <c r="D274" s="114" t="s">
        <v>71</v>
      </c>
      <c r="E274" s="58"/>
    </row>
    <row r="275" spans="1:5" ht="13.5" thickBot="1">
      <c r="A275" s="127"/>
      <c r="B275" s="128"/>
      <c r="C275" s="129"/>
      <c r="D275" s="129"/>
      <c r="E275" s="130"/>
    </row>
    <row r="276" spans="1:5" ht="12.75">
      <c r="A276" s="131"/>
      <c r="B276" s="132"/>
      <c r="C276" s="133"/>
      <c r="D276" s="133"/>
      <c r="E276" s="134"/>
    </row>
    <row r="277" spans="1:5" ht="12.75">
      <c r="A277" s="103"/>
      <c r="B277" s="19" t="s">
        <v>248</v>
      </c>
      <c r="C277" s="103"/>
      <c r="D277" s="103"/>
      <c r="E277" s="103"/>
    </row>
    <row r="278" spans="1:5" ht="12.75">
      <c r="A278" s="25"/>
      <c r="B278" s="21"/>
      <c r="C278" s="71"/>
      <c r="D278" s="71"/>
      <c r="E278" s="58"/>
    </row>
    <row r="279" spans="1:5" ht="12.75">
      <c r="A279" s="25"/>
      <c r="B279" s="100" t="s">
        <v>249</v>
      </c>
      <c r="C279" s="169">
        <v>210</v>
      </c>
      <c r="D279" s="135" t="s">
        <v>11</v>
      </c>
      <c r="E279" s="58"/>
    </row>
    <row r="280" spans="1:5" ht="12.75">
      <c r="A280" s="25"/>
      <c r="B280" s="21"/>
      <c r="C280" s="27"/>
      <c r="D280" s="71"/>
      <c r="E280" s="58"/>
    </row>
    <row r="281" spans="1:5" ht="12.75">
      <c r="A281" s="25"/>
      <c r="B281" s="100" t="s">
        <v>8</v>
      </c>
      <c r="C281" s="27"/>
      <c r="D281" s="71"/>
      <c r="E281" s="58"/>
    </row>
    <row r="282" spans="1:5" ht="12.75">
      <c r="A282" s="25"/>
      <c r="B282" s="21" t="s">
        <v>250</v>
      </c>
      <c r="C282" s="164">
        <v>212</v>
      </c>
      <c r="D282" s="71" t="s">
        <v>11</v>
      </c>
      <c r="E282" s="58"/>
    </row>
    <row r="283" spans="1:5" ht="12.75">
      <c r="A283" s="25"/>
      <c r="B283" s="26" t="s">
        <v>251</v>
      </c>
      <c r="C283" s="164">
        <f>0.6</f>
        <v>0.6</v>
      </c>
      <c r="D283" s="71" t="s">
        <v>11</v>
      </c>
      <c r="E283" s="58"/>
    </row>
    <row r="284" spans="1:5" ht="12.75">
      <c r="A284" s="25"/>
      <c r="B284" s="26" t="s">
        <v>252</v>
      </c>
      <c r="C284" s="27">
        <f>C282-C283</f>
        <v>211.4</v>
      </c>
      <c r="D284" s="114" t="s">
        <v>11</v>
      </c>
      <c r="E284" s="58"/>
    </row>
    <row r="285" spans="1:5" ht="12.75">
      <c r="A285" s="25"/>
      <c r="B285" s="63" t="s">
        <v>253</v>
      </c>
      <c r="C285" s="136"/>
      <c r="D285" s="114"/>
      <c r="E285" s="58"/>
    </row>
    <row r="286" spans="1:5" ht="12.75">
      <c r="A286" s="25"/>
      <c r="B286" s="26" t="s">
        <v>254</v>
      </c>
      <c r="C286" s="27">
        <f>C284-0.05</f>
        <v>211.35</v>
      </c>
      <c r="D286" s="114" t="s">
        <v>11</v>
      </c>
      <c r="E286" s="58"/>
    </row>
    <row r="287" spans="1:5" ht="12.75">
      <c r="A287" s="25"/>
      <c r="B287" s="26" t="s">
        <v>255</v>
      </c>
      <c r="C287" s="27">
        <f>C286-C52</f>
        <v>211.04</v>
      </c>
      <c r="D287" s="114" t="s">
        <v>11</v>
      </c>
      <c r="E287" s="58"/>
    </row>
    <row r="288" spans="1:5" ht="12.75">
      <c r="A288" s="25"/>
      <c r="B288" s="26" t="s">
        <v>256</v>
      </c>
      <c r="C288" s="27">
        <f>C287-C51</f>
        <v>210.79</v>
      </c>
      <c r="D288" s="114" t="s">
        <v>11</v>
      </c>
      <c r="E288" s="58"/>
    </row>
    <row r="289" spans="1:5" ht="12.75">
      <c r="A289" s="25"/>
      <c r="B289" s="63" t="s">
        <v>257</v>
      </c>
      <c r="C289" s="27"/>
      <c r="D289" s="71"/>
      <c r="E289" s="58"/>
    </row>
    <row r="290" spans="1:5" ht="12.75">
      <c r="A290" s="25"/>
      <c r="B290" s="26" t="s">
        <v>258</v>
      </c>
      <c r="C290" s="27">
        <f>C288-0.1</f>
        <v>210.69</v>
      </c>
      <c r="D290" s="114" t="s">
        <v>11</v>
      </c>
      <c r="E290" s="58"/>
    </row>
    <row r="291" spans="1:5" ht="12.75">
      <c r="A291" s="25"/>
      <c r="B291" s="26" t="s">
        <v>259</v>
      </c>
      <c r="C291" s="27">
        <f>C290-C74</f>
        <v>209.19</v>
      </c>
      <c r="D291" s="114" t="s">
        <v>11</v>
      </c>
      <c r="E291" s="58"/>
    </row>
    <row r="292" spans="1:5" ht="12.75">
      <c r="A292" s="25"/>
      <c r="B292" s="26" t="s">
        <v>260</v>
      </c>
      <c r="C292" s="27">
        <f>C291-C75</f>
        <v>208.89</v>
      </c>
      <c r="D292" s="114" t="s">
        <v>11</v>
      </c>
      <c r="E292" s="58"/>
    </row>
    <row r="293" spans="1:5" ht="12.75">
      <c r="A293" s="25"/>
      <c r="B293" s="63" t="s">
        <v>261</v>
      </c>
      <c r="C293" s="27"/>
      <c r="D293" s="71"/>
      <c r="E293" s="58"/>
    </row>
    <row r="294" spans="1:5" ht="12.75">
      <c r="A294" s="25"/>
      <c r="B294" s="26" t="s">
        <v>262</v>
      </c>
      <c r="C294" s="27">
        <f>C290-0.5</f>
        <v>210.19</v>
      </c>
      <c r="D294" s="114" t="s">
        <v>11</v>
      </c>
      <c r="E294" s="58"/>
    </row>
    <row r="295" spans="1:5" ht="12.75">
      <c r="A295" s="25"/>
      <c r="B295" s="26" t="s">
        <v>263</v>
      </c>
      <c r="C295" s="27">
        <f>C294-C109</f>
        <v>207.69</v>
      </c>
      <c r="D295" s="114" t="s">
        <v>11</v>
      </c>
      <c r="E295" s="58"/>
    </row>
    <row r="296" spans="1:5" ht="12.75">
      <c r="A296" s="25"/>
      <c r="B296" s="63" t="s">
        <v>264</v>
      </c>
      <c r="C296" s="27"/>
      <c r="D296" s="71"/>
      <c r="E296" s="58"/>
    </row>
    <row r="297" spans="1:5" ht="12.75">
      <c r="A297" s="25"/>
      <c r="B297" s="26" t="s">
        <v>265</v>
      </c>
      <c r="C297" s="27">
        <f>C294-0.4</f>
        <v>209.79</v>
      </c>
      <c r="D297" s="114" t="s">
        <v>11</v>
      </c>
      <c r="E297" s="24"/>
    </row>
    <row r="298" spans="1:5" ht="12.75">
      <c r="A298" s="20"/>
      <c r="B298" s="26" t="s">
        <v>266</v>
      </c>
      <c r="C298" s="27">
        <f>C297-C158</f>
        <v>205.79</v>
      </c>
      <c r="D298" s="114" t="s">
        <v>11</v>
      </c>
      <c r="E298" s="24"/>
    </row>
    <row r="299" spans="1:5" ht="12.75">
      <c r="A299" s="20"/>
      <c r="B299" s="63" t="s">
        <v>267</v>
      </c>
      <c r="C299" s="27"/>
      <c r="D299" s="71"/>
      <c r="E299" s="24"/>
    </row>
    <row r="300" spans="1:5" ht="12.75">
      <c r="A300" s="20"/>
      <c r="B300" s="26" t="s">
        <v>268</v>
      </c>
      <c r="C300" s="27">
        <f>C297-0.4</f>
        <v>209.39</v>
      </c>
      <c r="D300" s="114" t="s">
        <v>11</v>
      </c>
      <c r="E300" s="24"/>
    </row>
    <row r="301" spans="1:5" ht="12.75">
      <c r="A301" s="20"/>
      <c r="B301" s="26" t="s">
        <v>269</v>
      </c>
      <c r="C301" s="27">
        <f>C300-C206</f>
        <v>206.89</v>
      </c>
      <c r="D301" s="114" t="s">
        <v>11</v>
      </c>
      <c r="E301" s="24"/>
    </row>
    <row r="302" spans="1:5" ht="12.75">
      <c r="A302" s="20"/>
      <c r="B302" s="63" t="s">
        <v>202</v>
      </c>
      <c r="C302" s="27"/>
      <c r="D302" s="71"/>
      <c r="E302" s="24"/>
    </row>
    <row r="303" spans="1:5" ht="12.75">
      <c r="A303" s="20"/>
      <c r="B303" s="26" t="s">
        <v>270</v>
      </c>
      <c r="C303" s="27">
        <f>C300-1</f>
        <v>208.39</v>
      </c>
      <c r="D303" s="114" t="s">
        <v>11</v>
      </c>
      <c r="E303" s="107"/>
    </row>
    <row r="304" spans="1:5" ht="12.75">
      <c r="A304" s="20"/>
      <c r="B304" s="26" t="s">
        <v>271</v>
      </c>
      <c r="C304" s="27">
        <f>C303-C232-0.1</f>
        <v>204.29</v>
      </c>
      <c r="D304" s="114" t="s">
        <v>11</v>
      </c>
      <c r="E304" s="24"/>
    </row>
    <row r="305" spans="1:5" ht="12.75">
      <c r="A305" s="20"/>
      <c r="B305" s="26" t="s">
        <v>272</v>
      </c>
      <c r="C305" s="27">
        <f>C279+0.5</f>
        <v>210.5</v>
      </c>
      <c r="D305" s="114" t="s">
        <v>11</v>
      </c>
      <c r="E305" s="24"/>
    </row>
    <row r="306" spans="1:5" ht="12.75">
      <c r="A306" s="20"/>
      <c r="B306" s="63" t="s">
        <v>246</v>
      </c>
      <c r="C306" s="27"/>
      <c r="D306" s="71"/>
      <c r="E306" s="24"/>
    </row>
    <row r="307" spans="1:5" ht="12.75">
      <c r="A307" s="20"/>
      <c r="B307" s="26" t="s">
        <v>247</v>
      </c>
      <c r="C307" s="175">
        <v>100</v>
      </c>
      <c r="D307" s="114" t="s">
        <v>71</v>
      </c>
      <c r="E307" s="24"/>
    </row>
    <row r="308" spans="1:5" ht="25.5">
      <c r="A308" s="20"/>
      <c r="B308" s="35" t="s">
        <v>273</v>
      </c>
      <c r="C308" s="27">
        <f>C305+0.15</f>
        <v>210.65</v>
      </c>
      <c r="D308" s="114" t="s">
        <v>11</v>
      </c>
      <c r="E308" s="24"/>
    </row>
    <row r="309" spans="1:5" ht="12.75">
      <c r="A309" s="20"/>
      <c r="B309" s="26" t="s">
        <v>274</v>
      </c>
      <c r="C309" s="27">
        <f>C308+3.35</f>
        <v>214</v>
      </c>
      <c r="D309" s="114" t="s">
        <v>11</v>
      </c>
      <c r="E309" s="24"/>
    </row>
    <row r="310" spans="1:5" ht="13.5" thickBot="1">
      <c r="A310" s="137"/>
      <c r="B310" s="128"/>
      <c r="C310" s="138"/>
      <c r="D310" s="129"/>
      <c r="E310" s="139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</sheetData>
  <sheetProtection/>
  <mergeCells count="19">
    <mergeCell ref="J250:L250"/>
    <mergeCell ref="K262:L262"/>
    <mergeCell ref="A3:E3"/>
    <mergeCell ref="B31:E31"/>
    <mergeCell ref="B54:E54"/>
    <mergeCell ref="B76:E76"/>
    <mergeCell ref="B211:E211"/>
    <mergeCell ref="B165:E165"/>
    <mergeCell ref="B80:E80"/>
    <mergeCell ref="B116:E116"/>
    <mergeCell ref="A1:B1"/>
    <mergeCell ref="K263:N263"/>
    <mergeCell ref="B244:E244"/>
    <mergeCell ref="B265:E265"/>
    <mergeCell ref="B235:E235"/>
    <mergeCell ref="J97:M97"/>
    <mergeCell ref="J98:M98"/>
    <mergeCell ref="J99:M99"/>
    <mergeCell ref="J100:M100"/>
  </mergeCells>
  <printOptions/>
  <pageMargins left="0.75" right="0.75" top="1" bottom="1" header="0.5" footer="0.5"/>
  <pageSetup horizontalDpi="1200" verticalDpi="1200" orientation="portrait" paperSize="9" scale="66" r:id="rId1"/>
  <headerFooter alignWithMargins="0">
    <oddHeader xml:space="preserve">&amp;L&amp;"Arial,Bold"&amp;9&amp;A&amp;C&amp;"Arial,Bold"&amp;9Sewage Treatment Plant </oddHeader>
    <oddFooter>&amp;C&amp;9Page&amp;P of &amp;N</oddFooter>
  </headerFooter>
  <rowBreaks count="3" manualBreakCount="3">
    <brk id="68" max="4" man="1"/>
    <brk id="115" max="255" man="1"/>
    <brk id="2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</cp:lastModifiedBy>
  <cp:lastPrinted>2009-07-10T04:43:14Z</cp:lastPrinted>
  <dcterms:created xsi:type="dcterms:W3CDTF">2008-08-19T06:38:25Z</dcterms:created>
  <dcterms:modified xsi:type="dcterms:W3CDTF">2010-08-29T12:43:41Z</dcterms:modified>
  <cp:category/>
  <cp:version/>
  <cp:contentType/>
  <cp:contentStatus/>
</cp:coreProperties>
</file>